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งบทดลอง" sheetId="1" r:id="rId1"/>
    <sheet name="หมายเหตุ 1 รายรับจริง" sheetId="2" r:id="rId2"/>
    <sheet name="หมายเหตุ 2-3" sheetId="3" r:id="rId3"/>
    <sheet name="แนบ2" sheetId="4" r:id="rId4"/>
    <sheet name="รับจ่าย" sheetId="5" r:id="rId5"/>
    <sheet name="จ่ายรายรับ" sheetId="6" r:id="rId6"/>
    <sheet name="จ่ายเงินสะสม" sheetId="7" r:id="rId7"/>
    <sheet name="กรุงไทย" sheetId="8" r:id="rId8"/>
  </sheets>
  <definedNames>
    <definedName name="_xlnm.Print_Titles" localSheetId="6">'จ่ายเงินสะสม'!$5:$13</definedName>
    <definedName name="_xlnm.Print_Titles" localSheetId="5">'จ่ายรายรับ'!$5:$13</definedName>
    <definedName name="_xlnm.Print_Titles" localSheetId="3">'แนบ2'!$6:$7</definedName>
    <definedName name="_xlnm.Print_Titles" localSheetId="1">'หมายเหตุ 1 รายรับจริง'!$6:$6</definedName>
  </definedNames>
  <calcPr fullCalcOnLoad="1"/>
</workbook>
</file>

<file path=xl/comments5.xml><?xml version="1.0" encoding="utf-8"?>
<comments xmlns="http://schemas.openxmlformats.org/spreadsheetml/2006/main">
  <authors>
    <author>io</author>
  </authors>
  <commentList>
    <comment ref="B7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รับแจ้ง</t>
        </r>
      </text>
    </comment>
    <comment ref="C7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ประมาณการ+อุดหนุนวัตถุประสงค์</t>
        </r>
      </text>
    </comment>
    <comment ref="B54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รับแจ้ง</t>
        </r>
      </text>
    </comment>
    <comment ref="C54" authorId="0">
      <text>
        <r>
          <rPr>
            <b/>
            <sz val="9"/>
            <rFont val="Tahoma"/>
            <family val="2"/>
          </rPr>
          <t>io:</t>
        </r>
        <r>
          <rPr>
            <sz val="9"/>
            <rFont val="Tahoma"/>
            <family val="2"/>
          </rPr>
          <t xml:space="preserve">
ประมาณการ+อุดหนุนวัตถุประสงค์</t>
        </r>
      </text>
    </comment>
  </commentList>
</comments>
</file>

<file path=xl/sharedStrings.xml><?xml version="1.0" encoding="utf-8"?>
<sst xmlns="http://schemas.openxmlformats.org/spreadsheetml/2006/main" count="746" uniqueCount="436">
  <si>
    <t>รหัสบัญชี</t>
  </si>
  <si>
    <t>ลูกหนี้รายได้อื่นๆ</t>
  </si>
  <si>
    <t>ลูกหนี้เงินยืม</t>
  </si>
  <si>
    <t>เงินรายรับ</t>
  </si>
  <si>
    <t>รายได้จากรัฐบาลค้างรับ</t>
  </si>
  <si>
    <t>รายจ่ายค้างจ่าย</t>
  </si>
  <si>
    <t>ฎีกาค้างจ่าย</t>
  </si>
  <si>
    <t>เงินสะสม</t>
  </si>
  <si>
    <t>เงินทุนสำรองเงินสะสม</t>
  </si>
  <si>
    <t>ลูกหนี้เงินยืมเงินสะสม</t>
  </si>
  <si>
    <t>ลูกหนี้เงินสะสม</t>
  </si>
  <si>
    <t>เจ้าหนี้เงินสะสม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</si>
  <si>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</si>
  <si>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</si>
  <si>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</si>
  <si>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</si>
  <si>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</si>
  <si>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</si>
  <si>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</si>
  <si>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</si>
  <si>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</si>
  <si>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</si>
  <si>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</si>
  <si>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</si>
  <si>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</si>
  <si>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ค่าปรับผู้กระทำผิดกฎหมายจราจรทางบก</t>
  </si>
  <si>
    <t>ค่าปรับการผิดสัญญา</t>
  </si>
  <si>
    <t>ค่าใบอนุญาตเกี่ยวกับการควบคุมอาคาร</t>
  </si>
  <si>
    <t>รายได้จากสาธารณูปโภคและการพาณิชย์</t>
  </si>
  <si>
    <t>ค่าขายแบบแปลน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</si>
  <si>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</si>
  <si>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</si>
  <si>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</si>
  <si>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</si>
  <si>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</si>
  <si>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เงินอุดหนุนทั่วไปตามภารกิจถ่ายโอน-การสงเคราะห์เบี้ยยังชีพผู้ป่วยเอดส์</t>
  </si>
  <si>
    <t>เงินอุดหนุนทั่วไปตามภารกิจถ่ายโอน-อาหารเสริม(นม)</t>
  </si>
  <si>
    <t>เงินอุดหนุนทั่วไปตามภารกิจถ่ายโอน-อาหารกลางวัน</t>
  </si>
  <si>
    <t>เงินอุดหนุนทั่วไปตามภารกิจถ่ายโอน-การบริการสาธารณสุข</t>
  </si>
  <si>
    <t>เงินฝากเงินทุนส่งเสริมกิจการเทศบาล</t>
  </si>
  <si>
    <t>113100</t>
  </si>
  <si>
    <t>113200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</si>
  <si>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</si>
  <si>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</si>
  <si>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</si>
  <si>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</si>
  <si>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113400</t>
  </si>
  <si>
    <t>เงินรับฝากภาษีหัก ณ ที่จ่าย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</si>
  <si>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</si>
  <si>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</si>
  <si>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</si>
  <si>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215999</t>
  </si>
  <si>
    <t>ค่าธรรมเนียมจดทะเบียนพาณิชย์</t>
  </si>
  <si>
    <t>เงินอุดหนุนระบุวัตถุประสงค์-เบี้ยยังชีพผู้สูงอายุ</t>
  </si>
  <si>
    <t>เงินอุดหนุนระบุวัตถุประสงค์-ค่าจัดการเรียนการสอนศพด.</t>
  </si>
  <si>
    <t>511000</t>
  </si>
  <si>
    <t>เงินเดือน (ฝ่ายการเมือง)</t>
  </si>
  <si>
    <t>เงินเดือน (ฝ่ายประจำ)</t>
  </si>
  <si>
    <t>532000</t>
  </si>
  <si>
    <t>561000</t>
  </si>
  <si>
    <t>งบกลาง-เงินอุดหนุนระบุวัตถุประสงค์เบี้ยยังชีพผู้สูงอายุ</t>
  </si>
  <si>
    <t>งบกลาง-เงินอุดหนุนระบุวัตถุประสงค์ประกันสังคมครูศพด.</t>
  </si>
  <si>
    <t>เทศบาลตำบลหลักช้าง</t>
  </si>
  <si>
    <t>รายการ</t>
  </si>
  <si>
    <t>เดบิท</t>
  </si>
  <si>
    <t>เครดิต</t>
  </si>
  <si>
    <t>เงินฝากธนาคาร ธ.ก.ส.-ออมทรัพย์</t>
  </si>
  <si>
    <t>เงินฝากธนาคาร ธ.ก.ส.-ออมทรัพย์(เงินทุนโครงการเศรษฐกิจชุมชน)</t>
  </si>
  <si>
    <t>เงินฝากธนาคารกรุงไทย - ออมทรัพย์</t>
  </si>
  <si>
    <t>เงินฝากธนาคารธ.ก.ส.-ประจำ</t>
  </si>
  <si>
    <t>เงินฝากธนาคารกรุงไทย-ประจำ</t>
  </si>
  <si>
    <t>เงินฝากธนาคารออมสิน - ประจำ</t>
  </si>
  <si>
    <t>รายจ่ายค้างจ่าย (หมายเหตุ 2)</t>
  </si>
  <si>
    <t>เงินรายรับ (หมายเหตุ 1)</t>
  </si>
  <si>
    <t>(ลงชื่อ)......................................            (ลงชื่อ)......................................               (ลงชื่อ)................................................</t>
  </si>
  <si>
    <t xml:space="preserve">        (นางวาสนา  รักษาแก้ว)                   (นายสุนทร  เสถียรขจรกุล)                    (นายชินวรณ์   วิเชียร)</t>
  </si>
  <si>
    <t xml:space="preserve">         ผู้อำนวยการกองคลัง                      ปลัดเทศบาลตำบลหลักช้าง                นายกเทศมนตรีตำบลหลักช้าง</t>
  </si>
  <si>
    <t>ประมาณการ</t>
  </si>
  <si>
    <t>รับจริง</t>
  </si>
  <si>
    <t>ปรับปรุง</t>
  </si>
  <si>
    <t>รายได้จัดเก็บเอง</t>
  </si>
  <si>
    <t>1) หมวดภาษีอากร</t>
  </si>
  <si>
    <t>อากรการฆ่าสัตว์</t>
  </si>
  <si>
    <t>ภาษีบำรุง อบจ. จากสถานค้าปลีกยาสูบ</t>
  </si>
  <si>
    <t>ภาษีบำรุง อบจ. จากสถานค้าปลีกน้ำมัน</t>
  </si>
  <si>
    <t>รวม</t>
  </si>
  <si>
    <t>2) หมวดค่าธรรมเนียม ค่าปรับ 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</si>
  <si>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</si>
  <si>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</si>
  <si>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</si>
  <si>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</si>
  <si>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ค่าธรรมเนียมเกี่ยวกับการตั้งสุสานและฌาปนสถาน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</si>
  <si>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</si>
  <si>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ค่าธรรมเนียมเกี่ยวกับทะเบียนราษฎร</t>
  </si>
  <si>
    <t>ค่าธรรมเนียมจอดรถจักรยานยนต์และรถยนต์</t>
  </si>
  <si>
    <t>ค่าธรรมเนียมกำจัดขยะมูลฝอย</t>
  </si>
  <si>
    <t>ค่าใบอนุญาตจัดตั้งสถานที่จำหน่ายอาหารหรือสถานที่สะสมอาหารหรือ</t>
  </si>
  <si>
    <t>พื้นที่ใดซึ่งมีพื้นที่เกิน 200 ตรม.</t>
  </si>
  <si>
    <t>ค่าใบอนุญาตจำหน่ายสินค้าในที่หรือทางสาธารณะ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</si>
  <si>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</si>
  <si>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</si>
  <si>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ค่าธรรมเนียมอนุญาตประกอบกิจการน้ำมันเชื้อเพลิง ประเภท 3</t>
  </si>
  <si>
    <t>ค่าธรรมเนียมใบอนุญาตและค่าปรับอื่น ๆ นอกเหนือจากรายการข้างต้น</t>
  </si>
  <si>
    <t>3) หมวดรายได้จากทรัพย์สิน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</si>
  <si>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</si>
  <si>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</si>
  <si>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</si>
  <si>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</si>
  <si>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</si>
  <si>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ดอกเบี้ยเงินฝากธนาคาร,กสท.</t>
  </si>
  <si>
    <t>รายได้จากทรัพย์สินอื่น ๆ นอกเหนือจากรายการข้างต้น</t>
  </si>
  <si>
    <t>4) 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</si>
  <si>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</si>
  <si>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</si>
  <si>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เงินช่วยเหลือท้องถิ่นจากการโอนกิจการสาธารณูปโภคและการพาณิชย์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</si>
  <si>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</si>
  <si>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</si>
  <si>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รายได้จากสาธารณูปโภคและการพาณิชย์อื่น ๆ</t>
  </si>
  <si>
    <t>5) หมวดรายได้เบ็ดเตล็ด</t>
  </si>
  <si>
    <t>ค่าจำหน่ายเวชภัณฑ์</t>
  </si>
  <si>
    <t>ค่าขายเศษของ</t>
  </si>
  <si>
    <t>เงินที่มีผู้อุทิศให้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</si>
  <si>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</si>
  <si>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</si>
  <si>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</si>
  <si>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</si>
  <si>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รายได้เบ็ดเตล็ดอื่น ๆ นอกเหนือจากรายการข้างต้น</t>
  </si>
  <si>
    <t>6) 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</si>
  <si>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</si>
  <si>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</si>
  <si>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1) 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</si>
  <si>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</si>
  <si>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พ.ร.บ.กำหนดแผนฯ</t>
  </si>
  <si>
    <t>ภาษีการพนัน</t>
  </si>
  <si>
    <t>ภาษียาสูบ</t>
  </si>
  <si>
    <t>อากรประมง</t>
  </si>
  <si>
    <t>ค่าภาคหลวงไม้</t>
  </si>
  <si>
    <t>รายได้จากกฎหมายอุทยานแห่งชาติ</t>
  </si>
  <si>
    <t>ค่าธรรมเนียมน้ำบาดาล</t>
  </si>
  <si>
    <t>ค่าธรรมเนียมการจดทะเบียนสิทธิและนิติกรรมตามประมวลกฎหมายที่ดิน</t>
  </si>
  <si>
    <t xml:space="preserve">ค่าธรรมเนียมสนามบิน </t>
  </si>
  <si>
    <t>ภาษีจัดสรรอื่น ๆ นอกเหนือจากรายการข้างต้น</t>
  </si>
  <si>
    <t>2) หมวดเงินอุดหนุนทั่วไป</t>
  </si>
  <si>
    <t>เงินอุดหนุนทั่วไปเพื่อสนับสนุนการบริหารจัดการของอปท.การพัฒนาประเทศ</t>
  </si>
  <si>
    <t>เงินอุดหนุนทั่วไปตามอำนาจหน้าที่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</si>
  <si>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</si>
  <si>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เงินอุดหนุนทั่วไปกำหนดวัตถุประสงค์-เบี้ยยังชีพความพิการ</t>
  </si>
  <si>
    <t>เงินอุดหนุนทั่วไปกำหนดวัตถุประสงค์-การสนับสนุนศพด.(เงินเดือนครูศพด.)</t>
  </si>
  <si>
    <t>เงินอุดหนุนทั่วไปกำหนดวัตถุประสงค์-การสนับสนุนศพด.(ประกันสังคมครูศพด.)</t>
  </si>
  <si>
    <t>เงินอุดหนุนทั่วไปกำหนดวัตถุประสงค์-การสนับสนุนศพด.(ค่าจัดการเรียนการสอน)</t>
  </si>
  <si>
    <t>3) หมวดเงินอุดหนุนเฉพาะกิจ</t>
  </si>
  <si>
    <t>เงินอุดหนุนเฉพาะกิจก่อสร้างอาคารศูนย์พัฒนาเด็กเล็ก</t>
  </si>
  <si>
    <t>เงินอุดหนุนเฉพาะกิจก่อสร้างถนนลาดยาง</t>
  </si>
  <si>
    <t>เงินอุดหนุนเฉพาะกิจกล้องวงจรปิด (CCTV)</t>
  </si>
  <si>
    <t>รวมรายรับทั้งสิ้น(เดือนนี้)</t>
  </si>
  <si>
    <t>รวมรายรับทั้งสิ้น</t>
  </si>
  <si>
    <t>หมวดที่จ่าย</t>
  </si>
  <si>
    <t>จำนวนเงิน</t>
  </si>
  <si>
    <t>ภาษี หัก ณ ที่จ่าย</t>
  </si>
  <si>
    <t>ประกันสัญญา</t>
  </si>
  <si>
    <t>ประกันสังคม</t>
  </si>
  <si>
    <t>ค่าใช้จ่ายในการจัดเก็บภาษีบำรุงท้องที่ 5%</t>
  </si>
  <si>
    <t>เงินรอคืนจังหวัด</t>
  </si>
  <si>
    <t>รายละเอียดประกอบงบทดลอง</t>
  </si>
  <si>
    <t>รายจ่ายค้างจ่าย (หมายเหตุ 3)</t>
  </si>
  <si>
    <t>หมวด/ประเภท/รายการก่อหนี้ผูกพัน</t>
  </si>
  <si>
    <t>จำนวนเงินขอเบิกตัดปี ณ 30 กันยายน 2558</t>
  </si>
  <si>
    <t>เบิกจ่ายแล้ว</t>
  </si>
  <si>
    <t>คงเหลือ</t>
  </si>
  <si>
    <t>หมายเหตุ</t>
  </si>
  <si>
    <t>(สัญญาเลขที่/ลว./จำนวนเงิน/วันครบกำหนด)</t>
  </si>
  <si>
    <t>ก่อหนี้ผูกพัน</t>
  </si>
  <si>
    <t>ไม่ก่อหนี้ผูกพัน</t>
  </si>
  <si>
    <t>- ค่าจ้างเหมาประกอบอาหารกลางวันศพด. งวดที่ 10</t>
  </si>
  <si>
    <t>- ค่าจ้างเหมาประกอบอาหารกลางวันศพด. งวดที่ 8</t>
  </si>
  <si>
    <t>- ค่าจ้างเหมาทำความสะอาดศูนย์พัฒนาเด็กเล็ก งวดที่ 2</t>
  </si>
  <si>
    <t>- ค่าจ้างเหมาเก็บขนขยะมูลฝอยและสิ่งปฏิกูล งวดที่ 3</t>
  </si>
  <si>
    <t>- ค่าจ้างเหมาจัดเก็บค่าขยะ งวดที่ 6</t>
  </si>
  <si>
    <t>- ค่าจ้างเหมาจัดเก็บค่าน้ำประปา งวดที่ 6</t>
  </si>
  <si>
    <t>- ค่าจ้างเหมารักษาความปลอดภัยสนง.ทต.หลักช้าง งวดที่ 6</t>
  </si>
  <si>
    <t>- ค่าจ้างเหมาทำความสะอาดสนง.ทต.หลักช้าง งวดที่ 6</t>
  </si>
  <si>
    <t>- ค่าจ้างเหมาเก็บขนขยะมูลฝอยและสิ่งปฏิกูล งวดที่ 2-3</t>
  </si>
  <si>
    <t>- ค่าวัสดุอาหารเสริม(นม) งวดที่ 3-5</t>
  </si>
  <si>
    <t>- ค่าวัสดุอาหารเสริม(นม) งวดที่ 3-4</t>
  </si>
  <si>
    <t>- ค่าหนังสือพิมพ์ไทยรัฐ งวดที่ 12</t>
  </si>
  <si>
    <t>- ถังขยะ ขนาดบรรจุไม่ต่ำกว่า 200 ลิตร(พร้อมสกรีน)</t>
  </si>
  <si>
    <t>- ค่าจ้างเหมาซ่อมแซมถนนสายหูนบหนองซอม หมู่ที่ 3</t>
  </si>
  <si>
    <t>- ค่าจ้างเหมาซ่อมแซมถนนสายซอยวาสนา หมู่ที่ 4</t>
  </si>
  <si>
    <t>- ค่าจ้างเหมาขุดลอกกำจัดสิ่งกีดขวางทางน้ำที่อุดช่องทาง</t>
  </si>
  <si>
    <t xml:space="preserve">  ระบายน้ำ หมู่ที่ 10</t>
  </si>
  <si>
    <t>- ติดตั้งกล้องวงจรปิด (CCTV) แบบ IP/Network Cameras</t>
  </si>
  <si>
    <t>- เครื่องคอมพิวเตอร์โน๊คบุ๊ค</t>
  </si>
  <si>
    <t>- เครื่องสูบน้ำแบบหอยโข่ง มอเตอร์ไฟฟ้า</t>
  </si>
  <si>
    <t>- เครื่องพิมพ์ชนิด Dot Matrix Printer แบบแคร่สั้น</t>
  </si>
  <si>
    <t>- เครื่องคอมพิวเตอร์ สำหรับงานประมวลผล แบบที่ 1</t>
  </si>
  <si>
    <t>- เครื่องสำรองไฟฟ้า ขนาด 800VA</t>
  </si>
  <si>
    <t>- โครงการก่อสร้างถนนลาดยางสายวังชุม 2 ตอน 3 หมู่ 5</t>
  </si>
  <si>
    <t>- โครงการเจาะบ่อน้ำบาดาลบริเวณพื้นที่ หมู่ 5</t>
  </si>
  <si>
    <t>- โครงการปรับปรุงผิวจราจรถนนลาดยางแอสฟัลท์ติก</t>
  </si>
  <si>
    <t xml:space="preserve">  คอนกรีตสายควนโด หมู่ 7</t>
  </si>
  <si>
    <t>รวมทั้งสิ้น</t>
  </si>
  <si>
    <t>จนถึงปัจจุบัน</t>
  </si>
  <si>
    <t>ปีนี้</t>
  </si>
  <si>
    <t>เกิดขึ้นจริง</t>
  </si>
  <si>
    <t>บัญชี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</si>
  <si>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</si>
  <si>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</si>
  <si>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</si>
  <si>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</si>
  <si>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</si>
  <si>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</si>
  <si>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</si>
  <si>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</si>
  <si>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เงินอุดหนุนทั่วไปตามภารกิจถ่ายโอน</t>
  </si>
  <si>
    <t>เงินอุดหนุนทั่วไประบุวัตถุประสงค์เพื่อพัฒนาประเทศ</t>
  </si>
  <si>
    <t>เงินรับฝากค่าใช้จ่ายในการจัดเก็บภาษีบำรุงท้องที่  5%</t>
  </si>
  <si>
    <t>รวมรายรับ</t>
  </si>
  <si>
    <t>-2-</t>
  </si>
  <si>
    <t>รหัส</t>
  </si>
  <si>
    <t>รายจ่าย</t>
  </si>
  <si>
    <t xml:space="preserve">ค่าที่ดินและสิ่งก่อสร้าง  </t>
  </si>
  <si>
    <t xml:space="preserve">รวมรายจ่าย  </t>
  </si>
  <si>
    <t>-3-</t>
  </si>
  <si>
    <t xml:space="preserve">   เกิดขึ้นจริง</t>
  </si>
  <si>
    <t>สูงกว่า</t>
  </si>
  <si>
    <t xml:space="preserve">                        รายรับ                           รายจ่าย</t>
  </si>
  <si>
    <t>ต่ำกว่า</t>
  </si>
  <si>
    <t>ยอดยกไป</t>
  </si>
  <si>
    <t>(ลงชื่อ)......................................            (ลงชื่อ)...........................................          (ลงชื่อ)............................................</t>
  </si>
  <si>
    <t xml:space="preserve">         ผู้อำนวยการกองคลัง                     ปลัดเทศบาลตำบลหลักช้าง                นายกเทศมนตรีตำบลหลักช้าง</t>
  </si>
  <si>
    <t>เดือนนี้</t>
  </si>
  <si>
    <t>ธนาคารกรุงไทย</t>
  </si>
  <si>
    <t>งบกระทบยอดเงินฝากธนาคาร</t>
  </si>
  <si>
    <t>เลขที่บัญชี  835-0-10972-6</t>
  </si>
  <si>
    <t>บวก : เงินฝากระหว่างทาง</t>
  </si>
  <si>
    <t>วันที่ลงบัญชี</t>
  </si>
  <si>
    <t>วันที่ฝากธนาคาร</t>
  </si>
  <si>
    <t>…………………….......</t>
  </si>
  <si>
    <t>……………………..........</t>
  </si>
  <si>
    <t>………..........………………</t>
  </si>
  <si>
    <t>.....................................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</si>
  <si>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</si>
  <si>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</si>
  <si>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</si>
  <si>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10016396</t>
  </si>
  <si>
    <t xml:space="preserve">บวก : หรือ (หัก) รายการกระทบยอดอื่น ๆ </t>
  </si>
  <si>
    <t>รายละเอียด</t>
  </si>
  <si>
    <t>ผู้จัดทำ</t>
  </si>
  <si>
    <t>ผู้ตรวจสอบ</t>
  </si>
  <si>
    <t>ลงชื่อ.....................................</t>
  </si>
  <si>
    <t>ลงชื่อ....................................</t>
  </si>
  <si>
    <t>ตำแหน่ง  นักวิชาการเงินและบัญชี</t>
  </si>
  <si>
    <t>ตำแหน่ง  ผู้อำนวยการกองคลัง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</si>
  <si>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</si>
  <si>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</si>
  <si>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</si>
  <si>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</si>
  <si>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</si>
  <si>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</si>
  <si>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</si>
  <si>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</si>
  <si>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</si>
  <si>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</si>
  <si>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แผนงานบริหารทั่วไป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</si>
  <si>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</si>
  <si>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</si>
  <si>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</si>
  <si>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</si>
  <si>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</si>
  <si>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</si>
  <si>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</si>
  <si>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</si>
  <si>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</si>
  <si>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</si>
  <si>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</si>
  <si>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</si>
  <si>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</si>
  <si>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</si>
  <si>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</si>
  <si>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</si>
  <si>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</si>
  <si>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</si>
  <si>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00241</t>
  </si>
  <si>
    <t>00242</t>
  </si>
  <si>
    <t>00244</t>
  </si>
  <si>
    <t>00252</t>
  </si>
  <si>
    <t>00261</t>
  </si>
  <si>
    <t>00262</t>
  </si>
  <si>
    <t>00263</t>
  </si>
  <si>
    <t>00321</t>
  </si>
  <si>
    <t>00332</t>
  </si>
  <si>
    <t>00411</t>
  </si>
  <si>
    <t>งานบริหารทั่วไป</t>
  </si>
  <si>
    <t>งานบริหารงานคลัง</t>
  </si>
  <si>
    <t>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</si>
  <si>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</si>
  <si>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</si>
  <si>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</si>
  <si>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</si>
  <si>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</si>
  <si>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</si>
  <si>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</si>
  <si>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</si>
  <si>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</si>
  <si>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</si>
  <si>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</si>
  <si>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</si>
  <si>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ก่อสร้างโครงการพื้นฐาน</t>
  </si>
  <si>
    <t>งานส่งเสริมการเกษตร</t>
  </si>
  <si>
    <t>งานกิจการประปา</t>
  </si>
  <si>
    <t>เงินสมทบกองทุนประกันสังคม</t>
  </si>
  <si>
    <t>เงินรางวัลนำจับตาม พรบ.จราจรทางบก</t>
  </si>
  <si>
    <t>เงินสมทบกองทุนบำเหน็จบำนาญข้าราชการส่วนท้องถิ่น</t>
  </si>
  <si>
    <t>เงินทุนการศึกษา</t>
  </si>
  <si>
    <t>เบี้ยยังชีพคนพิการ</t>
  </si>
  <si>
    <t>เบี้ยยังชีพผู้ป่วยเอดส์</t>
  </si>
  <si>
    <t>เงินสมทบกองทุนหลักประกันสุขภาพ</t>
  </si>
  <si>
    <t>เงินสำรองจ่าย</t>
  </si>
  <si>
    <t>รวมเดือนนี้</t>
  </si>
  <si>
    <t>รวมตั้งแต่ต้นปี</t>
  </si>
  <si>
    <t>เงินเดือนนายก/รองนายก</t>
  </si>
  <si>
    <t>ค่าตอบแทนเลขา/ที่ปรึกษา</t>
  </si>
  <si>
    <t>ค่าตอบแทนสมาชิก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</si>
  <si>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</si>
  <si>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</si>
  <si>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</si>
  <si>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</si>
  <si>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</si>
  <si>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</si>
  <si>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</si>
  <si>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 xml:space="preserve">เงินอื่น ๆ </t>
  </si>
  <si>
    <t>ค่าตอบแทนผู้ปฏิบัติราชการอันเป็นประโยชน์แก่ อปท.</t>
  </si>
  <si>
    <t>ค่าเบี้ยประชุม</t>
  </si>
  <si>
    <t>ค่าตอบแทนการปฏบัติงานนอกเวลาราชการ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</si>
  <si>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</si>
  <si>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</si>
  <si>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</si>
  <si>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</si>
  <si>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</si>
  <si>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รายจ่ายเกี่ยวกับการรับรองหรือพิธีการ</t>
  </si>
  <si>
    <t>รายจ่ายเกี่ยวเนื่องกับการปฏิบัติราชการที่</t>
  </si>
  <si>
    <t>ไม่เข้าลักษณะรายจ่ายหมวดอื่น ๆ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</si>
  <si>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</si>
  <si>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</si>
  <si>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</si>
  <si>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</si>
  <si>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</si>
  <si>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</si>
  <si>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</si>
  <si>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</si>
  <si>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</si>
  <si>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</si>
  <si>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วัสดุกีฬา</t>
  </si>
  <si>
    <t>วัสดุคอมพิวเตอร์</t>
  </si>
  <si>
    <t>วัสดุอื่น ๆ</t>
  </si>
  <si>
    <t>ค่าไฟฟ้า</t>
  </si>
  <si>
    <t>ค่าน้ำประปา</t>
  </si>
  <si>
    <t>ค่าโทรศัพท์</t>
  </si>
  <si>
    <t>ค่าไปรษณีย์</t>
  </si>
  <si>
    <t>เงินอุดหนุนอปท.อื่น</t>
  </si>
  <si>
    <t>เงินอุดหนุนส่วนราชการ เอกชนหรือ</t>
  </si>
  <si>
    <t>กิจการเป็นสาธารณประโยชน์</t>
  </si>
  <si>
    <t>ครุภัณฑ์สำนักงาน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</si>
  <si>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</si>
  <si>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</si>
  <si>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</si>
  <si>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</si>
  <si>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ครุภัณฑ์ไฟฟ้าและวิทยุ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</si>
  <si>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</si>
  <si>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</si>
  <si>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</si>
  <si>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ครุภัณฑ์คอมพิวเตอร์</t>
  </si>
  <si>
    <t>ครุภัณฑ์อื่น</t>
  </si>
  <si>
    <t>ถนน</t>
  </si>
  <si>
    <t>เจาะบ่อน้ำบาดาล</t>
  </si>
  <si>
    <t>รวมทั้งสิ้นเดือนนี้</t>
  </si>
  <si>
    <t>รวมทั้งสิ้นตั้งแต่ต้นปี</t>
  </si>
  <si>
    <t>(ลงชื่อ)......................................                                                     (ลงชื่อ)......................................                                                                     (ลงชื่อ).................................</t>
  </si>
  <si>
    <t xml:space="preserve">        (นางวาสนา  รักษาแก้ว)                                                             (นายสุนทร  เสถียรขจรกุล)                                                                           (นายชินวรณ์   วิเชียร)</t>
  </si>
  <si>
    <t xml:space="preserve">         ผู้อำนวยการกองคลัง                                                                ปลัดเทศบาลตำบลหลักช้าง                                                                      นายกเทศมนตรีตำบลหลักช้าง</t>
  </si>
  <si>
    <t>จ่าย 8 ต.ค.58</t>
  </si>
  <si>
    <t>จ่าย 9 ต.ค.58</t>
  </si>
  <si>
    <t>จ่าย 7 ต.ค.58</t>
  </si>
  <si>
    <t>ภาษีมูลค่าเพิ่มตาม พรบ.จัดสรรรายได้</t>
  </si>
  <si>
    <t>ค่าใบอนุญาตประกอบการค้าสำหรับกิจการที่เป็นอันตรายต่อสุขภาพ</t>
  </si>
  <si>
    <t>รวมรับจริง</t>
  </si>
  <si>
    <t xml:space="preserve">เงินรับฝาก (หมายเหตุ 3)  </t>
  </si>
  <si>
    <t>อื่น ๆ</t>
  </si>
  <si>
    <t>เงินอุดหนุนระบุวัตถุประสงค์-เบี้ยยังชีพความพิการ</t>
  </si>
  <si>
    <t>เงินอุดหนุนระบุวัตถุประสงค์-การสนับสนุนศูนย์พัฒนาเด็กเล็ก</t>
  </si>
  <si>
    <t>เงินอุดหนุนระบุ</t>
  </si>
  <si>
    <t>วัตถุประสงค์/</t>
  </si>
  <si>
    <t>เฉพาะกิจ(บาท)</t>
  </si>
  <si>
    <t>(บาท)</t>
  </si>
  <si>
    <t xml:space="preserve">  รหัสบัญชี</t>
  </si>
  <si>
    <t>ที่เกิดขึ้นจริง</t>
  </si>
  <si>
    <t>เงินรับฝากอื่น ๆ</t>
  </si>
  <si>
    <t>งบกลาง-เงินอุดหนุนระบุวัตถุประสงค์เบี้ยยังชีพความพิการ</t>
  </si>
  <si>
    <r>
      <t>รายรับ</t>
    </r>
    <r>
      <rPr>
        <sz val="15"/>
        <rFont val="TH SarabunPSK"/>
        <family val="2"/>
      </rPr>
      <t xml:space="preserve"> (หมายเหตุ  1)</t>
    </r>
  </si>
  <si>
    <t>รายงาน รับ - จ่ายเงิน</t>
  </si>
  <si>
    <t xml:space="preserve">              บาท</t>
  </si>
  <si>
    <t>เลขที่เอกสาร</t>
  </si>
  <si>
    <t xml:space="preserve"> รายรับจริงประกอบงบทดลองและรายงานรับ-จ่ายเงิน</t>
  </si>
  <si>
    <t>รายละเอียด ประกอบงบทดลองและรายงานรับ-จ่ายเงิน</t>
  </si>
  <si>
    <t>กระดาษทำการกระทบยอดรายจ่ายตามงบประมาณ (จ่ายจากรายรับ)</t>
  </si>
  <si>
    <t>หมวด/ประเภทรายจ่าย</t>
  </si>
  <si>
    <t>กระดาษทำการกระทบยอดรายจ่าย (จ่ายจากเงินสะสม)</t>
  </si>
  <si>
    <t>1016448</t>
  </si>
  <si>
    <t xml:space="preserve">    กฎหมายที่ดิน</t>
  </si>
  <si>
    <t xml:space="preserve">   -ค่าธรรมเนียมจดทะเบียนสิทธิและนิติกรรมตามประมวล</t>
  </si>
  <si>
    <t xml:space="preserve">   -ค่าปรับผู้กระทำผิดกฎหมายจราจรทางบก</t>
  </si>
  <si>
    <t>งบทดลอง</t>
  </si>
  <si>
    <t>ณ  วันที่  30  พฤศจิกายน  2558</t>
  </si>
  <si>
    <t>ณ 30 พ.ย. 58</t>
  </si>
  <si>
    <t xml:space="preserve">ปีงบประมาณ 2559  ประจำเดือน พฤศจิกายน 2558 </t>
  </si>
  <si>
    <t>ประจำเดือน พฤศจิกายน 2558</t>
  </si>
  <si>
    <t>ยอดคงเหลือตามรายงานธนาคาร ณ วันที่  30 พฤศจิกายน 2558</t>
  </si>
  <si>
    <t>ยอดคงเหลือตามบัญชี ณ วันที่  30 พฤศจิกายน 2558</t>
  </si>
  <si>
    <t>วันที่  30 พฤศจิกายน 2558</t>
  </si>
  <si>
    <t>จ่าย 11 พ.ย.58</t>
  </si>
  <si>
    <t>จ่าย 5 พ.ย.58</t>
  </si>
  <si>
    <r>
      <rPr>
        <b/>
        <u val="single"/>
        <sz val="16"/>
        <color indexed="8"/>
        <rFont val="TH SarabunPSK"/>
        <family val="2"/>
      </rPr>
      <t>รายจ่ายค้างจ่าย</t>
    </r>
    <r>
      <rPr>
        <b/>
        <sz val="16"/>
        <color indexed="8"/>
        <rFont val="TH SarabunPSK"/>
        <family val="2"/>
      </rPr>
      <t xml:space="preserve"> (หมายเหตุ 2)</t>
    </r>
  </si>
  <si>
    <r>
      <rPr>
        <b/>
        <u val="single"/>
        <sz val="16"/>
        <color indexed="8"/>
        <rFont val="TH SarabunPSK"/>
        <family val="2"/>
      </rPr>
      <t>เงินรับฝาก</t>
    </r>
    <r>
      <rPr>
        <b/>
        <sz val="16"/>
        <color indexed="8"/>
        <rFont val="TH SarabunPSK"/>
        <family val="2"/>
      </rPr>
      <t xml:space="preserve"> (หมายเหตุ 3)</t>
    </r>
  </si>
  <si>
    <t>10016472</t>
  </si>
  <si>
    <t>10016478</t>
  </si>
  <si>
    <t>10020564</t>
  </si>
  <si>
    <t>10020572</t>
  </si>
  <si>
    <t>10020578</t>
  </si>
  <si>
    <t>10020579</t>
  </si>
  <si>
    <t>10020580</t>
  </si>
  <si>
    <r>
      <rPr>
        <b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เงินโอนเข้าบัญชี</t>
    </r>
  </si>
  <si>
    <t>เงินอุดหนุนทั่วไปตามภารกิจถ่ายโอน-ค่าพัฒนาครูศพด.</t>
  </si>
  <si>
    <t>เงินอุดหนุนทั่วไปกำหนดวัตถุประสงค์-การสนับสนุนศพด.(ค่าตอบแทนครูศพด.)</t>
  </si>
  <si>
    <t>เงินอุดหนุนทั่วไปกำหนดวัตถุประสงค์-การป้องกันแก้ไขไฟป่าและหมอกควันในพื้นที่ อปท.</t>
  </si>
  <si>
    <t>เงินเดือน (ฝ่ายประจำ)-เงินอุดหนุนระบุวัตถุประสงค์เงินเดือนครูศพด.</t>
  </si>
  <si>
    <t>เงินอุดหนุนระบุวัตถุประสงค์-ป้องกันแก้ไขไฟป่าและหมอกควัน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</si>
</sst>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);\(#,##0.00\)"/>
    <numFmt numFmtId="196" formatCode="[$-F800]dddd\,\ mmmm\ dd\,\ yyyy"/>
    <numFmt numFmtId="197" formatCode="[$-41E]d\ mmmm\ yyyy"/>
    <numFmt numFmtId="198" formatCode="mmm\-yyyy"/>
  </numFmts>
  <fonts count="91">
    <font>
      <sz val="10"/>
      <name val="Arial"/>
      <family val="0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u val="single"/>
      <sz val="16"/>
      <name val="TH SarabunPSK"/>
      <family val="2"/>
    </font>
    <font>
      <sz val="16"/>
      <name val="Angsana New"/>
      <family val="1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u val="single"/>
      <sz val="15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30"/>
      <name val="TH SarabunPSK"/>
      <family val="2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9"/>
      <name val="TH SarabunPSK"/>
      <family val="2"/>
    </font>
    <font>
      <sz val="14"/>
      <color indexed="9"/>
      <name val="TH SarabunPSK"/>
      <family val="2"/>
    </font>
    <font>
      <b/>
      <sz val="12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sz val="15"/>
      <color theme="0"/>
      <name val="TH SarabunPSK"/>
      <family val="2"/>
    </font>
    <font>
      <b/>
      <sz val="15"/>
      <color theme="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0"/>
      <name val="TH SarabunPSK"/>
      <family val="2"/>
    </font>
    <font>
      <sz val="14"/>
      <color theme="0"/>
      <name val="TH SarabunPSK"/>
      <family val="2"/>
    </font>
    <font>
      <b/>
      <sz val="12"/>
      <color theme="0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15" fillId="0" borderId="0" applyFont="0" applyFill="0" applyBorder="0" applyAlignment="0" applyProtection="0"/>
    <xf numFmtId="0" fontId="15" fillId="0" borderId="0">
      <alignment/>
      <protection/>
    </xf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6" fillId="0" borderId="0" xfId="54" applyFont="1">
      <alignment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4" fontId="4" fillId="0" borderId="10" xfId="54" applyNumberFormat="1" applyFont="1" applyBorder="1" applyAlignment="1">
      <alignment horizontal="center"/>
      <protection/>
    </xf>
    <xf numFmtId="0" fontId="6" fillId="0" borderId="0" xfId="54" applyFont="1" applyAlignment="1">
      <alignment vertical="center"/>
      <protection/>
    </xf>
    <xf numFmtId="0" fontId="6" fillId="0" borderId="11" xfId="54" applyFont="1" applyBorder="1" applyAlignment="1">
      <alignment vertical="center"/>
      <protection/>
    </xf>
    <xf numFmtId="0" fontId="6" fillId="0" borderId="11" xfId="54" applyFont="1" applyBorder="1" applyAlignment="1" quotePrefix="1">
      <alignment horizontal="center" vertical="center"/>
      <protection/>
    </xf>
    <xf numFmtId="4" fontId="6" fillId="0" borderId="11" xfId="54" applyNumberFormat="1" applyFont="1" applyBorder="1" applyAlignment="1">
      <alignment vertical="center"/>
      <protection/>
    </xf>
    <xf numFmtId="4" fontId="5" fillId="0" borderId="0" xfId="54" applyNumberFormat="1" applyFont="1" applyAlignment="1">
      <alignment vertical="center"/>
      <protection/>
    </xf>
    <xf numFmtId="0" fontId="6" fillId="0" borderId="12" xfId="54" applyFont="1" applyBorder="1" applyAlignment="1">
      <alignment vertical="center"/>
      <protection/>
    </xf>
    <xf numFmtId="4" fontId="6" fillId="0" borderId="11" xfId="54" applyNumberFormat="1" applyFont="1" applyBorder="1" applyAlignment="1" quotePrefix="1">
      <alignment horizontal="right" vertical="center"/>
      <protection/>
    </xf>
    <xf numFmtId="43" fontId="6" fillId="0" borderId="0" xfId="45" applyFont="1" applyAlignment="1">
      <alignment vertical="center"/>
    </xf>
    <xf numFmtId="0" fontId="6" fillId="0" borderId="13" xfId="54" applyFont="1" applyBorder="1" applyAlignment="1">
      <alignment vertical="center"/>
      <protection/>
    </xf>
    <xf numFmtId="0" fontId="6" fillId="0" borderId="11" xfId="54" applyFont="1" applyBorder="1" applyAlignment="1">
      <alignment horizontal="center" vertical="center"/>
      <protection/>
    </xf>
    <xf numFmtId="49" fontId="6" fillId="0" borderId="11" xfId="54" applyNumberFormat="1" applyFont="1" applyBorder="1" applyAlignment="1">
      <alignment horizontal="center" vertical="center"/>
      <protection/>
    </xf>
    <xf numFmtId="43" fontId="6" fillId="0" borderId="0" xfId="54" applyNumberFormat="1" applyFont="1" applyAlignment="1">
      <alignment vertical="center"/>
      <protection/>
    </xf>
    <xf numFmtId="4" fontId="6" fillId="0" borderId="0" xfId="54" applyNumberFormat="1" applyFont="1" applyAlignment="1">
      <alignment vertical="center"/>
      <protection/>
    </xf>
    <xf numFmtId="4" fontId="6" fillId="0" borderId="11" xfId="45" applyNumberFormat="1" applyFont="1" applyBorder="1" applyAlignment="1">
      <alignment vertical="center"/>
    </xf>
    <xf numFmtId="4" fontId="6" fillId="0" borderId="12" xfId="54" applyNumberFormat="1" applyFont="1" applyBorder="1" applyAlignment="1">
      <alignment vertical="center"/>
      <protection/>
    </xf>
    <xf numFmtId="0" fontId="6" fillId="0" borderId="14" xfId="54" applyFont="1" applyBorder="1" applyAlignment="1">
      <alignment vertical="center"/>
      <protection/>
    </xf>
    <xf numFmtId="0" fontId="6" fillId="0" borderId="15" xfId="54" applyFont="1" applyBorder="1" applyAlignment="1">
      <alignment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0" xfId="54" applyFont="1" applyBorder="1">
      <alignment/>
      <protection/>
    </xf>
    <xf numFmtId="4" fontId="6" fillId="0" borderId="10" xfId="45" applyNumberFormat="1" applyFont="1" applyBorder="1" applyAlignment="1">
      <alignment horizontal="right"/>
    </xf>
    <xf numFmtId="0" fontId="6" fillId="0" borderId="0" xfId="54" applyFont="1" applyBorder="1">
      <alignment/>
      <protection/>
    </xf>
    <xf numFmtId="4" fontId="4" fillId="0" borderId="0" xfId="45" applyNumberFormat="1" applyFont="1" applyBorder="1" applyAlignment="1">
      <alignment horizontal="right"/>
    </xf>
    <xf numFmtId="43" fontId="7" fillId="0" borderId="0" xfId="45" applyFont="1" applyBorder="1" applyAlignment="1">
      <alignment horizontal="right"/>
    </xf>
    <xf numFmtId="0" fontId="6" fillId="0" borderId="0" xfId="54" applyFont="1" applyAlignment="1">
      <alignment horizontal="left"/>
      <protection/>
    </xf>
    <xf numFmtId="4" fontId="6" fillId="0" borderId="0" xfId="54" applyNumberFormat="1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4" fontId="3" fillId="0" borderId="0" xfId="54" applyNumberFormat="1" applyFont="1" applyAlignment="1">
      <alignment horizontal="left"/>
      <protection/>
    </xf>
    <xf numFmtId="4" fontId="8" fillId="0" borderId="0" xfId="54" applyNumberFormat="1" applyFont="1">
      <alignment/>
      <protection/>
    </xf>
    <xf numFmtId="0" fontId="8" fillId="0" borderId="0" xfId="54" applyFont="1">
      <alignment/>
      <protection/>
    </xf>
    <xf numFmtId="0" fontId="3" fillId="0" borderId="0" xfId="54" applyFont="1">
      <alignment/>
      <protection/>
    </xf>
    <xf numFmtId="43" fontId="2" fillId="0" borderId="0" xfId="45" applyFont="1" applyBorder="1" applyAlignment="1">
      <alignment/>
    </xf>
    <xf numFmtId="4" fontId="3" fillId="0" borderId="0" xfId="54" applyNumberFormat="1" applyFont="1">
      <alignment/>
      <protection/>
    </xf>
    <xf numFmtId="43" fontId="4" fillId="0" borderId="0" xfId="45" applyFont="1" applyAlignment="1">
      <alignment/>
    </xf>
    <xf numFmtId="0" fontId="4" fillId="0" borderId="0" xfId="54" applyFont="1" applyAlignment="1">
      <alignment/>
      <protection/>
    </xf>
    <xf numFmtId="43" fontId="6" fillId="0" borderId="0" xfId="45" applyFont="1" applyAlignment="1">
      <alignment/>
    </xf>
    <xf numFmtId="43" fontId="4" fillId="0" borderId="0" xfId="45" applyFont="1" applyAlignment="1">
      <alignment vertical="center"/>
    </xf>
    <xf numFmtId="0" fontId="4" fillId="0" borderId="0" xfId="54" applyFont="1" applyAlignment="1">
      <alignment vertical="center"/>
      <protection/>
    </xf>
    <xf numFmtId="43" fontId="4" fillId="0" borderId="0" xfId="45" applyFont="1" applyBorder="1" applyAlignment="1">
      <alignment vertical="center"/>
    </xf>
    <xf numFmtId="0" fontId="4" fillId="0" borderId="0" xfId="54" applyFont="1" applyBorder="1" applyAlignment="1">
      <alignment vertical="center"/>
      <protection/>
    </xf>
    <xf numFmtId="0" fontId="2" fillId="0" borderId="19" xfId="57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43" fontId="2" fillId="0" borderId="10" xfId="45" applyFont="1" applyBorder="1" applyAlignment="1" applyProtection="1">
      <alignment horizontal="center"/>
      <protection hidden="1" locked="0"/>
    </xf>
    <xf numFmtId="0" fontId="9" fillId="0" borderId="0" xfId="59" applyFont="1">
      <alignment/>
      <protection/>
    </xf>
    <xf numFmtId="0" fontId="2" fillId="0" borderId="20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43" fontId="2" fillId="0" borderId="11" xfId="45" applyFont="1" applyBorder="1" applyAlignment="1" applyProtection="1">
      <alignment horizontal="center"/>
      <protection hidden="1" locked="0"/>
    </xf>
    <xf numFmtId="0" fontId="2" fillId="0" borderId="11" xfId="57" applyFont="1" applyBorder="1">
      <alignment/>
      <protection/>
    </xf>
    <xf numFmtId="0" fontId="9" fillId="0" borderId="12" xfId="59" applyFont="1" applyBorder="1">
      <alignment/>
      <protection/>
    </xf>
    <xf numFmtId="0" fontId="3" fillId="0" borderId="12" xfId="59" applyFont="1" applyBorder="1" applyAlignment="1">
      <alignment horizontal="center"/>
      <protection/>
    </xf>
    <xf numFmtId="43" fontId="3" fillId="0" borderId="11" xfId="45" applyFont="1" applyBorder="1" applyAlignment="1">
      <alignment/>
    </xf>
    <xf numFmtId="0" fontId="8" fillId="0" borderId="22" xfId="57" applyFont="1" applyFill="1" applyBorder="1" applyAlignment="1" quotePrefix="1">
      <alignment horizontal="center"/>
      <protection/>
    </xf>
    <xf numFmtId="0" fontId="8" fillId="0" borderId="23" xfId="57" applyFont="1" applyFill="1" applyBorder="1">
      <alignment/>
      <protection/>
    </xf>
    <xf numFmtId="0" fontId="3" fillId="0" borderId="23" xfId="57" applyFont="1" applyFill="1" applyBorder="1" applyAlignment="1">
      <alignment horizontal="center"/>
      <protection/>
    </xf>
    <xf numFmtId="43" fontId="8" fillId="0" borderId="24" xfId="45" applyFont="1" applyFill="1" applyBorder="1" applyAlignment="1">
      <alignment/>
    </xf>
    <xf numFmtId="0" fontId="8" fillId="0" borderId="25" xfId="57" applyFont="1" applyFill="1" applyBorder="1" applyAlignment="1" quotePrefix="1">
      <alignment horizontal="center"/>
      <protection/>
    </xf>
    <xf numFmtId="0" fontId="8" fillId="0" borderId="26" xfId="57" applyFont="1" applyFill="1" applyBorder="1">
      <alignment/>
      <protection/>
    </xf>
    <xf numFmtId="0" fontId="3" fillId="0" borderId="26" xfId="57" applyFont="1" applyFill="1" applyBorder="1" applyAlignment="1">
      <alignment horizontal="center"/>
      <protection/>
    </xf>
    <xf numFmtId="43" fontId="8" fillId="0" borderId="27" xfId="45" applyFont="1" applyFill="1" applyBorder="1" applyAlignment="1">
      <alignment/>
    </xf>
    <xf numFmtId="43" fontId="9" fillId="0" borderId="0" xfId="59" applyNumberFormat="1" applyFont="1">
      <alignment/>
      <protection/>
    </xf>
    <xf numFmtId="0" fontId="8" fillId="0" borderId="23" xfId="57" applyFont="1" applyBorder="1">
      <alignment/>
      <protection/>
    </xf>
    <xf numFmtId="0" fontId="3" fillId="0" borderId="23" xfId="57" applyFont="1" applyBorder="1" applyAlignment="1">
      <alignment horizontal="center"/>
      <protection/>
    </xf>
    <xf numFmtId="43" fontId="8" fillId="0" borderId="24" xfId="45" applyFont="1" applyBorder="1" applyAlignment="1">
      <alignment/>
    </xf>
    <xf numFmtId="0" fontId="8" fillId="0" borderId="15" xfId="57" applyFont="1" applyBorder="1">
      <alignment/>
      <protection/>
    </xf>
    <xf numFmtId="0" fontId="3" fillId="0" borderId="12" xfId="57" applyFont="1" applyBorder="1" applyAlignment="1">
      <alignment horizontal="center"/>
      <protection/>
    </xf>
    <xf numFmtId="43" fontId="8" fillId="0" borderId="11" xfId="45" applyFont="1" applyBorder="1" applyAlignment="1">
      <alignment/>
    </xf>
    <xf numFmtId="43" fontId="8" fillId="0" borderId="11" xfId="45" applyFont="1" applyFill="1" applyBorder="1" applyAlignment="1">
      <alignment/>
    </xf>
    <xf numFmtId="0" fontId="3" fillId="0" borderId="19" xfId="57" applyFont="1" applyFill="1" applyBorder="1" applyAlignment="1" quotePrefix="1">
      <alignment horizontal="center"/>
      <protection/>
    </xf>
    <xf numFmtId="43" fontId="10" fillId="0" borderId="10" xfId="45" applyFont="1" applyBorder="1" applyAlignment="1">
      <alignment/>
    </xf>
    <xf numFmtId="43" fontId="10" fillId="0" borderId="10" xfId="45" applyFont="1" applyBorder="1" applyAlignment="1" applyProtection="1">
      <alignment/>
      <protection hidden="1" locked="0"/>
    </xf>
    <xf numFmtId="0" fontId="2" fillId="0" borderId="19" xfId="57" applyFont="1" applyFill="1" applyBorder="1" applyAlignment="1" quotePrefix="1">
      <alignment horizontal="center"/>
      <protection/>
    </xf>
    <xf numFmtId="43" fontId="4" fillId="0" borderId="0" xfId="45" applyFont="1" applyAlignment="1">
      <alignment/>
    </xf>
    <xf numFmtId="0" fontId="11" fillId="0" borderId="0" xfId="59" applyFont="1">
      <alignment/>
      <protection/>
    </xf>
    <xf numFmtId="0" fontId="10" fillId="0" borderId="13" xfId="57" applyFont="1" applyFill="1" applyBorder="1" applyAlignment="1">
      <alignment horizontal="center"/>
      <protection/>
    </xf>
    <xf numFmtId="0" fontId="10" fillId="0" borderId="12" xfId="57" applyFont="1" applyFill="1" applyBorder="1" applyAlignment="1" quotePrefix="1">
      <alignment horizontal="center"/>
      <protection/>
    </xf>
    <xf numFmtId="0" fontId="2" fillId="0" borderId="12" xfId="57" applyFont="1" applyFill="1" applyBorder="1" applyAlignment="1" quotePrefix="1">
      <alignment horizontal="center"/>
      <protection/>
    </xf>
    <xf numFmtId="43" fontId="10" fillId="0" borderId="11" xfId="45" applyFont="1" applyBorder="1" applyAlignment="1">
      <alignment/>
    </xf>
    <xf numFmtId="43" fontId="10" fillId="0" borderId="11" xfId="45" applyFont="1" applyBorder="1" applyAlignment="1" applyProtection="1">
      <alignment/>
      <protection hidden="1" locked="0"/>
    </xf>
    <xf numFmtId="0" fontId="8" fillId="0" borderId="22" xfId="57" applyFont="1" applyBorder="1" applyAlignment="1" quotePrefix="1">
      <alignment horizontal="center"/>
      <protection/>
    </xf>
    <xf numFmtId="0" fontId="8" fillId="0" borderId="25" xfId="57" applyFont="1" applyBorder="1" applyAlignment="1" quotePrefix="1">
      <alignment horizontal="center"/>
      <protection/>
    </xf>
    <xf numFmtId="0" fontId="8" fillId="0" borderId="26" xfId="57" applyFont="1" applyBorder="1">
      <alignment/>
      <protection/>
    </xf>
    <xf numFmtId="0" fontId="3" fillId="0" borderId="26" xfId="57" applyFont="1" applyBorder="1" applyAlignment="1">
      <alignment horizontal="center"/>
      <protection/>
    </xf>
    <xf numFmtId="43" fontId="8" fillId="0" borderId="27" xfId="45" applyFont="1" applyBorder="1" applyAlignment="1">
      <alignment/>
    </xf>
    <xf numFmtId="0" fontId="8" fillId="0" borderId="26" xfId="57" applyFont="1" applyBorder="1" applyAlignment="1">
      <alignment horizontal="left" vertical="top" wrapText="1"/>
      <protection/>
    </xf>
    <xf numFmtId="0" fontId="8" fillId="0" borderId="26" xfId="54" applyFont="1" applyBorder="1">
      <alignment/>
      <protection/>
    </xf>
    <xf numFmtId="0" fontId="3" fillId="0" borderId="26" xfId="54" applyFont="1" applyBorder="1" applyAlignment="1">
      <alignment horizontal="center"/>
      <protection/>
    </xf>
    <xf numFmtId="0" fontId="8" fillId="0" borderId="15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43" fontId="8" fillId="0" borderId="28" xfId="45" applyFont="1" applyBorder="1" applyAlignment="1">
      <alignment/>
    </xf>
    <xf numFmtId="0" fontId="10" fillId="0" borderId="20" xfId="57" applyFont="1" applyFill="1" applyBorder="1" applyAlignment="1">
      <alignment horizontal="center"/>
      <protection/>
    </xf>
    <xf numFmtId="43" fontId="10" fillId="0" borderId="29" xfId="45" applyFont="1" applyBorder="1" applyAlignment="1">
      <alignment/>
    </xf>
    <xf numFmtId="43" fontId="8" fillId="0" borderId="27" xfId="45" applyFont="1" applyBorder="1" applyAlignment="1">
      <alignment horizontal="left" vertical="top" wrapText="1"/>
    </xf>
    <xf numFmtId="0" fontId="3" fillId="0" borderId="26" xfId="57" applyFont="1" applyBorder="1" applyAlignment="1">
      <alignment horizontal="center" vertical="top" wrapText="1"/>
      <protection/>
    </xf>
    <xf numFmtId="0" fontId="8" fillId="0" borderId="14" xfId="57" applyFont="1" applyBorder="1" applyAlignment="1" quotePrefix="1">
      <alignment horizontal="center"/>
      <protection/>
    </xf>
    <xf numFmtId="0" fontId="3" fillId="0" borderId="15" xfId="57" applyFont="1" applyBorder="1" applyAlignment="1">
      <alignment horizontal="center" vertical="top" wrapText="1"/>
      <protection/>
    </xf>
    <xf numFmtId="43" fontId="8" fillId="0" borderId="16" xfId="45" applyFont="1" applyBorder="1" applyAlignment="1">
      <alignment horizontal="left" vertical="top" wrapText="1"/>
    </xf>
    <xf numFmtId="0" fontId="8" fillId="0" borderId="23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center" vertical="top" wrapText="1"/>
      <protection/>
    </xf>
    <xf numFmtId="43" fontId="8" fillId="0" borderId="24" xfId="45" applyFont="1" applyBorder="1" applyAlignment="1">
      <alignment horizontal="left" vertical="top" wrapText="1"/>
    </xf>
    <xf numFmtId="43" fontId="8" fillId="0" borderId="11" xfId="45" applyFont="1" applyBorder="1" applyAlignment="1">
      <alignment horizontal="left" vertical="top" wrapText="1"/>
    </xf>
    <xf numFmtId="0" fontId="8" fillId="0" borderId="20" xfId="57" applyFont="1" applyFill="1" applyBorder="1" applyAlignment="1">
      <alignment horizontal="center"/>
      <protection/>
    </xf>
    <xf numFmtId="0" fontId="8" fillId="0" borderId="12" xfId="57" applyFont="1" applyFill="1" applyBorder="1" applyAlignment="1" quotePrefix="1">
      <alignment horizontal="center"/>
      <protection/>
    </xf>
    <xf numFmtId="0" fontId="3" fillId="0" borderId="12" xfId="57" applyFont="1" applyFill="1" applyBorder="1" applyAlignment="1" quotePrefix="1">
      <alignment horizontal="center"/>
      <protection/>
    </xf>
    <xf numFmtId="0" fontId="10" fillId="0" borderId="11" xfId="57" applyFont="1" applyBorder="1">
      <alignment/>
      <protection/>
    </xf>
    <xf numFmtId="0" fontId="8" fillId="0" borderId="13" xfId="57" applyFont="1" applyFill="1" applyBorder="1" applyAlignment="1">
      <alignment horizontal="center"/>
      <protection/>
    </xf>
    <xf numFmtId="0" fontId="8" fillId="0" borderId="21" xfId="57" applyFont="1" applyFill="1" applyBorder="1" applyAlignment="1" quotePrefix="1">
      <alignment horizontal="center"/>
      <protection/>
    </xf>
    <xf numFmtId="0" fontId="10" fillId="0" borderId="13" xfId="57" applyFont="1" applyBorder="1" applyAlignment="1" quotePrefix="1">
      <alignment horizontal="left"/>
      <protection/>
    </xf>
    <xf numFmtId="0" fontId="10" fillId="0" borderId="12" xfId="57" applyFont="1" applyBorder="1" applyAlignment="1">
      <alignment horizontal="left" vertical="top" wrapText="1"/>
      <protection/>
    </xf>
    <xf numFmtId="43" fontId="10" fillId="0" borderId="11" xfId="45" applyFont="1" applyBorder="1" applyAlignment="1">
      <alignment horizontal="left" vertical="top" wrapText="1"/>
    </xf>
    <xf numFmtId="0" fontId="10" fillId="0" borderId="21" xfId="57" applyFont="1" applyBorder="1" applyAlignment="1">
      <alignment horizontal="left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43" fontId="8" fillId="0" borderId="11" xfId="45" applyFont="1" applyBorder="1" applyAlignment="1" applyProtection="1">
      <alignment/>
      <protection hidden="1" locked="0"/>
    </xf>
    <xf numFmtId="0" fontId="8" fillId="0" borderId="22" xfId="59" applyFont="1" applyFill="1" applyBorder="1" applyAlignment="1">
      <alignment horizontal="center"/>
      <protection/>
    </xf>
    <xf numFmtId="0" fontId="8" fillId="0" borderId="23" xfId="59" applyFont="1" applyFill="1" applyBorder="1">
      <alignment/>
      <protection/>
    </xf>
    <xf numFmtId="0" fontId="3" fillId="0" borderId="23" xfId="59" applyFont="1" applyFill="1" applyBorder="1" applyAlignment="1">
      <alignment horizontal="center"/>
      <protection/>
    </xf>
    <xf numFmtId="0" fontId="8" fillId="0" borderId="25" xfId="59" applyFont="1" applyFill="1" applyBorder="1" applyAlignment="1">
      <alignment horizontal="center"/>
      <protection/>
    </xf>
    <xf numFmtId="0" fontId="8" fillId="0" borderId="26" xfId="59" applyFont="1" applyFill="1" applyBorder="1">
      <alignment/>
      <protection/>
    </xf>
    <xf numFmtId="0" fontId="3" fillId="0" borderId="26" xfId="59" applyFont="1" applyFill="1" applyBorder="1" applyAlignment="1">
      <alignment horizontal="center"/>
      <protection/>
    </xf>
    <xf numFmtId="0" fontId="8" fillId="0" borderId="25" xfId="59" applyFont="1" applyBorder="1" applyAlignment="1">
      <alignment horizontal="center"/>
      <protection/>
    </xf>
    <xf numFmtId="0" fontId="8" fillId="0" borderId="26" xfId="59" applyFont="1" applyBorder="1">
      <alignment/>
      <protection/>
    </xf>
    <xf numFmtId="0" fontId="3" fillId="0" borderId="26" xfId="59" applyFont="1" applyBorder="1" applyAlignment="1">
      <alignment horizontal="center"/>
      <protection/>
    </xf>
    <xf numFmtId="0" fontId="12" fillId="0" borderId="26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 vertical="center"/>
      <protection/>
    </xf>
    <xf numFmtId="43" fontId="8" fillId="0" borderId="27" xfId="45" applyFont="1" applyBorder="1" applyAlignment="1">
      <alignment vertical="center"/>
    </xf>
    <xf numFmtId="43" fontId="8" fillId="0" borderId="24" xfId="45" applyFont="1" applyBorder="1" applyAlignment="1">
      <alignment vertical="center"/>
    </xf>
    <xf numFmtId="0" fontId="8" fillId="0" borderId="14" xfId="57" applyFont="1" applyFill="1" applyBorder="1" applyAlignment="1" quotePrefix="1">
      <alignment horizontal="center"/>
      <protection/>
    </xf>
    <xf numFmtId="0" fontId="3" fillId="0" borderId="15" xfId="57" applyFont="1" applyBorder="1" applyAlignment="1">
      <alignment horizontal="center"/>
      <protection/>
    </xf>
    <xf numFmtId="43" fontId="8" fillId="0" borderId="16" xfId="45" applyFont="1" applyBorder="1" applyAlignment="1">
      <alignment/>
    </xf>
    <xf numFmtId="43" fontId="8" fillId="0" borderId="11" xfId="45" applyFont="1" applyBorder="1" applyAlignment="1">
      <alignment vertical="center"/>
    </xf>
    <xf numFmtId="0" fontId="10" fillId="0" borderId="29" xfId="57" applyFont="1" applyBorder="1">
      <alignment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left" wrapText="1"/>
      <protection/>
    </xf>
    <xf numFmtId="0" fontId="3" fillId="0" borderId="26" xfId="57" applyFont="1" applyBorder="1" applyAlignment="1">
      <alignment horizontal="center" wrapText="1"/>
      <protection/>
    </xf>
    <xf numFmtId="43" fontId="8" fillId="0" borderId="27" xfId="45" applyFont="1" applyBorder="1" applyAlignment="1" applyProtection="1">
      <alignment/>
      <protection hidden="1" locked="0"/>
    </xf>
    <xf numFmtId="0" fontId="8" fillId="0" borderId="25" xfId="57" applyFont="1" applyBorder="1" applyAlignment="1" quotePrefix="1">
      <alignment horizontal="center" vertical="center"/>
      <protection/>
    </xf>
    <xf numFmtId="195" fontId="8" fillId="0" borderId="27" xfId="45" applyNumberFormat="1" applyFont="1" applyBorder="1" applyAlignment="1">
      <alignment/>
    </xf>
    <xf numFmtId="195" fontId="10" fillId="0" borderId="10" xfId="45" applyNumberFormat="1" applyFont="1" applyBorder="1" applyAlignment="1">
      <alignment/>
    </xf>
    <xf numFmtId="43" fontId="10" fillId="0" borderId="11" xfId="41" applyFont="1" applyBorder="1" applyAlignment="1">
      <alignment/>
    </xf>
    <xf numFmtId="43" fontId="10" fillId="0" borderId="11" xfId="41" applyFont="1" applyBorder="1" applyAlignment="1" applyProtection="1">
      <alignment/>
      <protection hidden="1" locked="0"/>
    </xf>
    <xf numFmtId="43" fontId="6" fillId="0" borderId="0" xfId="41" applyFont="1" applyAlignment="1">
      <alignment/>
    </xf>
    <xf numFmtId="0" fontId="8" fillId="0" borderId="22" xfId="57" applyFont="1" applyBorder="1" applyAlignment="1">
      <alignment horizontal="center"/>
      <protection/>
    </xf>
    <xf numFmtId="0" fontId="13" fillId="0" borderId="23" xfId="59" applyFont="1" applyBorder="1">
      <alignment/>
      <protection/>
    </xf>
    <xf numFmtId="0" fontId="3" fillId="0" borderId="23" xfId="59" applyFont="1" applyBorder="1" applyAlignment="1">
      <alignment horizontal="center"/>
      <protection/>
    </xf>
    <xf numFmtId="43" fontId="10" fillId="0" borderId="24" xfId="41" applyFont="1" applyBorder="1" applyAlignment="1">
      <alignment/>
    </xf>
    <xf numFmtId="43" fontId="8" fillId="0" borderId="24" xfId="41" applyFont="1" applyBorder="1" applyAlignment="1">
      <alignment/>
    </xf>
    <xf numFmtId="43" fontId="8" fillId="0" borderId="24" xfId="41" applyFont="1" applyBorder="1" applyAlignment="1" applyProtection="1">
      <alignment/>
      <protection hidden="1" locked="0"/>
    </xf>
    <xf numFmtId="43" fontId="10" fillId="0" borderId="10" xfId="41" applyFont="1" applyBorder="1" applyAlignment="1">
      <alignment/>
    </xf>
    <xf numFmtId="43" fontId="10" fillId="0" borderId="10" xfId="41" applyFont="1" applyBorder="1" applyAlignment="1" applyProtection="1">
      <alignment/>
      <protection hidden="1" locked="0"/>
    </xf>
    <xf numFmtId="43" fontId="4" fillId="0" borderId="0" xfId="41" applyFont="1" applyAlignment="1">
      <alignment/>
    </xf>
    <xf numFmtId="43" fontId="10" fillId="0" borderId="0" xfId="45" applyFont="1" applyAlignment="1">
      <alignment/>
    </xf>
    <xf numFmtId="0" fontId="3" fillId="0" borderId="0" xfId="59" applyFont="1" applyAlignment="1">
      <alignment horizontal="center"/>
      <protection/>
    </xf>
    <xf numFmtId="43" fontId="8" fillId="0" borderId="0" xfId="45" applyFont="1" applyAlignment="1">
      <alignment/>
    </xf>
    <xf numFmtId="43" fontId="8" fillId="0" borderId="0" xfId="59" applyNumberFormat="1" applyFont="1">
      <alignment/>
      <protection/>
    </xf>
    <xf numFmtId="0" fontId="3" fillId="0" borderId="0" xfId="59" applyFont="1">
      <alignment/>
      <protection/>
    </xf>
    <xf numFmtId="43" fontId="2" fillId="0" borderId="0" xfId="59" applyNumberFormat="1" applyFont="1">
      <alignment/>
      <protection/>
    </xf>
    <xf numFmtId="43" fontId="3" fillId="0" borderId="0" xfId="59" applyNumberFormat="1" applyFont="1">
      <alignment/>
      <protection/>
    </xf>
    <xf numFmtId="43" fontId="3" fillId="0" borderId="0" xfId="45" applyFont="1" applyAlignment="1">
      <alignment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43" fontId="2" fillId="0" borderId="0" xfId="45" applyFont="1" applyAlignment="1">
      <alignment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2" fillId="0" borderId="29" xfId="55" applyFont="1" applyBorder="1" applyAlignment="1">
      <alignment horizontal="center"/>
      <protection/>
    </xf>
    <xf numFmtId="43" fontId="3" fillId="0" borderId="10" xfId="44" applyFont="1" applyBorder="1" applyAlignment="1">
      <alignment horizontal="center"/>
    </xf>
    <xf numFmtId="0" fontId="3" fillId="0" borderId="16" xfId="55" applyFont="1" applyBorder="1" applyAlignment="1">
      <alignment horizontal="center"/>
      <protection/>
    </xf>
    <xf numFmtId="43" fontId="3" fillId="0" borderId="10" xfId="44" applyFont="1" applyBorder="1" applyAlignment="1">
      <alignment/>
    </xf>
    <xf numFmtId="0" fontId="14" fillId="0" borderId="24" xfId="55" applyFont="1" applyBorder="1">
      <alignment/>
      <protection/>
    </xf>
    <xf numFmtId="43" fontId="3" fillId="0" borderId="24" xfId="44" applyFont="1" applyBorder="1" applyAlignment="1">
      <alignment/>
    </xf>
    <xf numFmtId="0" fontId="3" fillId="0" borderId="24" xfId="55" applyFont="1" applyBorder="1">
      <alignment/>
      <protection/>
    </xf>
    <xf numFmtId="49" fontId="3" fillId="0" borderId="27" xfId="55" applyNumberFormat="1" applyFont="1" applyBorder="1">
      <alignment/>
      <protection/>
    </xf>
    <xf numFmtId="43" fontId="3" fillId="0" borderId="27" xfId="44" applyFont="1" applyBorder="1" applyAlignment="1">
      <alignment/>
    </xf>
    <xf numFmtId="0" fontId="3" fillId="0" borderId="27" xfId="55" applyFont="1" applyBorder="1">
      <alignment/>
      <protection/>
    </xf>
    <xf numFmtId="49" fontId="8" fillId="0" borderId="27" xfId="55" applyNumberFormat="1" applyFont="1" applyBorder="1">
      <alignment/>
      <protection/>
    </xf>
    <xf numFmtId="43" fontId="3" fillId="0" borderId="30" xfId="44" applyFont="1" applyBorder="1" applyAlignment="1">
      <alignment/>
    </xf>
    <xf numFmtId="0" fontId="2" fillId="0" borderId="10" xfId="55" applyFont="1" applyBorder="1" applyAlignment="1">
      <alignment horizontal="center"/>
      <protection/>
    </xf>
    <xf numFmtId="43" fontId="2" fillId="0" borderId="10" xfId="44" applyFont="1" applyBorder="1" applyAlignment="1">
      <alignment/>
    </xf>
    <xf numFmtId="0" fontId="2" fillId="0" borderId="10" xfId="55" applyFont="1" applyBorder="1">
      <alignment/>
      <protection/>
    </xf>
    <xf numFmtId="49" fontId="3" fillId="0" borderId="30" xfId="55" applyNumberFormat="1" applyFont="1" applyBorder="1">
      <alignment/>
      <protection/>
    </xf>
    <xf numFmtId="49" fontId="6" fillId="0" borderId="27" xfId="55" applyNumberFormat="1" applyFont="1" applyBorder="1">
      <alignment/>
      <protection/>
    </xf>
    <xf numFmtId="43" fontId="3" fillId="0" borderId="0" xfId="44" applyFont="1" applyAlignment="1">
      <alignment/>
    </xf>
    <xf numFmtId="4" fontId="6" fillId="0" borderId="0" xfId="54" applyNumberFormat="1" applyFont="1">
      <alignment/>
      <protection/>
    </xf>
    <xf numFmtId="0" fontId="4" fillId="0" borderId="0" xfId="54" applyFont="1" applyBorder="1" applyAlignment="1">
      <alignment horizontal="center" vertical="top"/>
      <protection/>
    </xf>
    <xf numFmtId="43" fontId="8" fillId="0" borderId="0" xfId="45" applyFont="1" applyAlignment="1">
      <alignment horizontal="center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43" fontId="8" fillId="0" borderId="0" xfId="53" applyNumberFormat="1" applyFont="1">
      <alignment/>
      <protection/>
    </xf>
    <xf numFmtId="43" fontId="8" fillId="0" borderId="0" xfId="41" applyFont="1" applyAlignment="1">
      <alignment/>
    </xf>
    <xf numFmtId="0" fontId="6" fillId="0" borderId="0" xfId="53" applyFont="1">
      <alignment/>
      <protection/>
    </xf>
    <xf numFmtId="43" fontId="72" fillId="0" borderId="0" xfId="45" applyFont="1" applyBorder="1" applyAlignment="1">
      <alignment/>
    </xf>
    <xf numFmtId="43" fontId="73" fillId="0" borderId="0" xfId="45" applyFont="1" applyAlignment="1">
      <alignment/>
    </xf>
    <xf numFmtId="49" fontId="72" fillId="0" borderId="0" xfId="58" applyNumberFormat="1" applyFont="1">
      <alignment/>
      <protection/>
    </xf>
    <xf numFmtId="0" fontId="10" fillId="0" borderId="0" xfId="53" applyFont="1" applyBorder="1" applyAlignment="1">
      <alignment horizontal="center"/>
      <protection/>
    </xf>
    <xf numFmtId="0" fontId="10" fillId="0" borderId="31" xfId="53" applyFont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0" fillId="0" borderId="32" xfId="53" applyFont="1" applyBorder="1">
      <alignment/>
      <protection/>
    </xf>
    <xf numFmtId="0" fontId="8" fillId="0" borderId="33" xfId="53" applyFont="1" applyBorder="1">
      <alignment/>
      <protection/>
    </xf>
    <xf numFmtId="43" fontId="8" fillId="0" borderId="34" xfId="41" applyFont="1" applyBorder="1" applyAlignment="1">
      <alignment/>
    </xf>
    <xf numFmtId="0" fontId="8" fillId="0" borderId="25" xfId="53" applyFont="1" applyBorder="1">
      <alignment/>
      <protection/>
    </xf>
    <xf numFmtId="0" fontId="8" fillId="0" borderId="26" xfId="53" applyFont="1" applyBorder="1">
      <alignment/>
      <protection/>
    </xf>
    <xf numFmtId="43" fontId="8" fillId="0" borderId="27" xfId="41" applyFont="1" applyBorder="1" applyAlignment="1">
      <alignment/>
    </xf>
    <xf numFmtId="0" fontId="16" fillId="0" borderId="25" xfId="53" applyFont="1" applyBorder="1">
      <alignment/>
      <protection/>
    </xf>
    <xf numFmtId="0" fontId="17" fillId="0" borderId="26" xfId="53" applyFont="1" applyBorder="1">
      <alignment/>
      <protection/>
    </xf>
    <xf numFmtId="43" fontId="17" fillId="0" borderId="27" xfId="41" applyFont="1" applyBorder="1" applyAlignment="1">
      <alignment/>
    </xf>
    <xf numFmtId="0" fontId="17" fillId="0" borderId="0" xfId="53" applyFont="1">
      <alignment/>
      <protection/>
    </xf>
    <xf numFmtId="0" fontId="18" fillId="0" borderId="25" xfId="53" applyFont="1" applyBorder="1">
      <alignment/>
      <protection/>
    </xf>
    <xf numFmtId="0" fontId="19" fillId="0" borderId="26" xfId="53" applyFont="1" applyBorder="1">
      <alignment/>
      <protection/>
    </xf>
    <xf numFmtId="43" fontId="19" fillId="0" borderId="27" xfId="41" applyFont="1" applyBorder="1" applyAlignment="1">
      <alignment/>
    </xf>
    <xf numFmtId="0" fontId="19" fillId="0" borderId="0" xfId="53" applyFont="1">
      <alignment/>
      <protection/>
    </xf>
    <xf numFmtId="0" fontId="10" fillId="0" borderId="25" xfId="53" applyFont="1" applyBorder="1">
      <alignment/>
      <protection/>
    </xf>
    <xf numFmtId="43" fontId="74" fillId="0" borderId="0" xfId="53" applyNumberFormat="1" applyFont="1">
      <alignment/>
      <protection/>
    </xf>
    <xf numFmtId="0" fontId="10" fillId="0" borderId="22" xfId="53" applyFont="1" applyBorder="1">
      <alignment/>
      <protection/>
    </xf>
    <xf numFmtId="0" fontId="8" fillId="0" borderId="23" xfId="53" applyFont="1" applyBorder="1">
      <alignment/>
      <protection/>
    </xf>
    <xf numFmtId="0" fontId="18" fillId="0" borderId="22" xfId="53" applyFont="1" applyBorder="1">
      <alignment/>
      <protection/>
    </xf>
    <xf numFmtId="0" fontId="19" fillId="0" borderId="23" xfId="53" applyFont="1" applyBorder="1">
      <alignment/>
      <protection/>
    </xf>
    <xf numFmtId="43" fontId="19" fillId="0" borderId="24" xfId="41" applyFont="1" applyBorder="1" applyAlignment="1">
      <alignment/>
    </xf>
    <xf numFmtId="194" fontId="8" fillId="0" borderId="27" xfId="41" applyNumberFormat="1" applyFont="1" applyBorder="1" applyAlignment="1">
      <alignment/>
    </xf>
    <xf numFmtId="43" fontId="75" fillId="0" borderId="27" xfId="41" applyFont="1" applyBorder="1" applyAlignment="1">
      <alignment/>
    </xf>
    <xf numFmtId="195" fontId="8" fillId="0" borderId="27" xfId="41" applyNumberFormat="1" applyFont="1" applyBorder="1" applyAlignment="1">
      <alignment/>
    </xf>
    <xf numFmtId="0" fontId="76" fillId="0" borderId="25" xfId="53" applyFont="1" applyBorder="1">
      <alignment/>
      <protection/>
    </xf>
    <xf numFmtId="0" fontId="74" fillId="0" borderId="26" xfId="53" applyFont="1" applyBorder="1">
      <alignment/>
      <protection/>
    </xf>
    <xf numFmtId="43" fontId="74" fillId="0" borderId="27" xfId="41" applyFont="1" applyBorder="1" applyAlignment="1">
      <alignment/>
    </xf>
    <xf numFmtId="0" fontId="74" fillId="0" borderId="0" xfId="53" applyFont="1">
      <alignment/>
      <protection/>
    </xf>
    <xf numFmtId="43" fontId="77" fillId="0" borderId="27" xfId="41" applyFont="1" applyBorder="1" applyAlignment="1">
      <alignment/>
    </xf>
    <xf numFmtId="0" fontId="10" fillId="0" borderId="26" xfId="53" applyFont="1" applyBorder="1">
      <alignment/>
      <protection/>
    </xf>
    <xf numFmtId="43" fontId="8" fillId="0" borderId="27" xfId="53" applyNumberFormat="1" applyFont="1" applyBorder="1">
      <alignment/>
      <protection/>
    </xf>
    <xf numFmtId="0" fontId="8" fillId="0" borderId="35" xfId="53" applyFont="1" applyBorder="1">
      <alignment/>
      <protection/>
    </xf>
    <xf numFmtId="0" fontId="10" fillId="0" borderId="36" xfId="53" applyFont="1" applyBorder="1">
      <alignment/>
      <protection/>
    </xf>
    <xf numFmtId="43" fontId="8" fillId="0" borderId="28" xfId="53" applyNumberFormat="1" applyFont="1" applyBorder="1">
      <alignment/>
      <protection/>
    </xf>
    <xf numFmtId="0" fontId="10" fillId="0" borderId="0" xfId="53" applyFont="1" applyBorder="1">
      <alignment/>
      <protection/>
    </xf>
    <xf numFmtId="43" fontId="8" fillId="0" borderId="0" xfId="53" applyNumberFormat="1" applyFont="1" applyBorder="1">
      <alignment/>
      <protection/>
    </xf>
    <xf numFmtId="43" fontId="5" fillId="0" borderId="0" xfId="53" applyNumberFormat="1" applyFont="1" applyBorder="1">
      <alignment/>
      <protection/>
    </xf>
    <xf numFmtId="0" fontId="6" fillId="0" borderId="0" xfId="53" applyFont="1" applyAlignment="1">
      <alignment horizontal="left"/>
      <protection/>
    </xf>
    <xf numFmtId="4" fontId="6" fillId="0" borderId="0" xfId="53" applyNumberFormat="1" applyFont="1" applyAlignment="1">
      <alignment horizontal="left"/>
      <protection/>
    </xf>
    <xf numFmtId="43" fontId="5" fillId="0" borderId="0" xfId="53" applyNumberFormat="1" applyFont="1">
      <alignment/>
      <protection/>
    </xf>
    <xf numFmtId="43" fontId="6" fillId="0" borderId="0" xfId="53" applyNumberFormat="1" applyFont="1">
      <alignment/>
      <protection/>
    </xf>
    <xf numFmtId="43" fontId="13" fillId="0" borderId="0" xfId="53" applyNumberFormat="1" applyFont="1">
      <alignment/>
      <protection/>
    </xf>
    <xf numFmtId="4" fontId="4" fillId="0" borderId="0" xfId="54" applyNumberFormat="1" applyFont="1" applyBorder="1" applyAlignment="1">
      <alignment horizontal="center" vertical="top"/>
      <protection/>
    </xf>
    <xf numFmtId="0" fontId="6" fillId="0" borderId="29" xfId="54" applyFont="1" applyBorder="1" applyAlignment="1">
      <alignment horizontal="center" vertical="center"/>
      <protection/>
    </xf>
    <xf numFmtId="0" fontId="6" fillId="0" borderId="29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4" fontId="6" fillId="0" borderId="20" xfId="54" applyNumberFormat="1" applyFont="1" applyBorder="1" applyAlignment="1">
      <alignment horizontal="center"/>
      <protection/>
    </xf>
    <xf numFmtId="4" fontId="6" fillId="0" borderId="13" xfId="54" applyNumberFormat="1" applyFont="1" applyBorder="1" applyAlignment="1">
      <alignment horizontal="center"/>
      <protection/>
    </xf>
    <xf numFmtId="4" fontId="6" fillId="0" borderId="11" xfId="54" applyNumberFormat="1" applyFont="1" applyBorder="1" applyAlignment="1">
      <alignment horizontal="center"/>
      <protection/>
    </xf>
    <xf numFmtId="4" fontId="6" fillId="0" borderId="0" xfId="54" applyNumberFormat="1" applyFont="1" applyBorder="1" applyAlignment="1">
      <alignment horizontal="center"/>
      <protection/>
    </xf>
    <xf numFmtId="4" fontId="6" fillId="0" borderId="14" xfId="54" applyNumberFormat="1" applyFont="1" applyBorder="1" applyAlignment="1">
      <alignment horizontal="center"/>
      <protection/>
    </xf>
    <xf numFmtId="4" fontId="6" fillId="0" borderId="16" xfId="54" applyNumberFormat="1" applyFont="1" applyBorder="1" applyAlignment="1">
      <alignment horizontal="center"/>
      <protection/>
    </xf>
    <xf numFmtId="4" fontId="6" fillId="0" borderId="29" xfId="54" applyNumberFormat="1" applyFont="1" applyBorder="1">
      <alignment/>
      <protection/>
    </xf>
    <xf numFmtId="43" fontId="6" fillId="0" borderId="37" xfId="45" applyFont="1" applyBorder="1" applyAlignment="1">
      <alignment/>
    </xf>
    <xf numFmtId="0" fontId="6" fillId="0" borderId="20" xfId="54" applyFont="1" applyBorder="1" applyAlignment="1">
      <alignment horizontal="center"/>
      <protection/>
    </xf>
    <xf numFmtId="4" fontId="6" fillId="0" borderId="0" xfId="54" applyNumberFormat="1" applyFont="1" applyBorder="1">
      <alignment/>
      <protection/>
    </xf>
    <xf numFmtId="4" fontId="6" fillId="0" borderId="11" xfId="54" applyNumberFormat="1" applyFont="1" applyBorder="1">
      <alignment/>
      <protection/>
    </xf>
    <xf numFmtId="0" fontId="20" fillId="0" borderId="0" xfId="54" applyFont="1">
      <alignment/>
      <protection/>
    </xf>
    <xf numFmtId="0" fontId="6" fillId="0" borderId="13" xfId="54" applyFont="1" applyBorder="1" applyAlignment="1">
      <alignment horizontal="center"/>
      <protection/>
    </xf>
    <xf numFmtId="4" fontId="6" fillId="0" borderId="11" xfId="45" applyNumberFormat="1" applyFont="1" applyBorder="1" applyAlignment="1">
      <alignment horizontal="right"/>
    </xf>
    <xf numFmtId="0" fontId="6" fillId="0" borderId="13" xfId="54" applyFont="1" applyBorder="1">
      <alignment/>
      <protection/>
    </xf>
    <xf numFmtId="0" fontId="6" fillId="0" borderId="11" xfId="54" applyFont="1" applyBorder="1" applyAlignment="1" quotePrefix="1">
      <alignment horizontal="center"/>
      <protection/>
    </xf>
    <xf numFmtId="4" fontId="6" fillId="0" borderId="11" xfId="45" applyNumberFormat="1" applyFont="1" applyBorder="1" applyAlignment="1">
      <alignment/>
    </xf>
    <xf numFmtId="0" fontId="6" fillId="0" borderId="13" xfId="54" applyFont="1" applyBorder="1" applyAlignment="1" quotePrefix="1">
      <alignment horizontal="center"/>
      <protection/>
    </xf>
    <xf numFmtId="4" fontId="6" fillId="0" borderId="0" xfId="45" applyNumberFormat="1" applyFont="1" applyBorder="1" applyAlignment="1">
      <alignment/>
    </xf>
    <xf numFmtId="4" fontId="6" fillId="0" borderId="0" xfId="45" applyNumberFormat="1" applyFont="1" applyBorder="1" applyAlignment="1">
      <alignment horizontal="right"/>
    </xf>
    <xf numFmtId="0" fontId="6" fillId="0" borderId="11" xfId="54" applyFont="1" applyBorder="1" applyAlignment="1">
      <alignment horizontal="center"/>
      <protection/>
    </xf>
    <xf numFmtId="43" fontId="6" fillId="0" borderId="11" xfId="45" applyFont="1" applyBorder="1" applyAlignment="1">
      <alignment/>
    </xf>
    <xf numFmtId="4" fontId="6" fillId="0" borderId="11" xfId="54" applyNumberFormat="1" applyFont="1" applyBorder="1" applyAlignment="1">
      <alignment horizontal="right"/>
      <protection/>
    </xf>
    <xf numFmtId="43" fontId="6" fillId="0" borderId="11" xfId="45" applyFont="1" applyBorder="1" applyAlignment="1">
      <alignment horizontal="right"/>
    </xf>
    <xf numFmtId="0" fontId="6" fillId="0" borderId="11" xfId="54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4" fontId="6" fillId="0" borderId="38" xfId="45" applyNumberFormat="1" applyFont="1" applyBorder="1" applyAlignment="1">
      <alignment horizontal="right"/>
    </xf>
    <xf numFmtId="0" fontId="6" fillId="0" borderId="12" xfId="54" applyFont="1" applyBorder="1" applyAlignment="1">
      <alignment horizontal="center"/>
      <protection/>
    </xf>
    <xf numFmtId="4" fontId="6" fillId="0" borderId="38" xfId="54" applyNumberFormat="1" applyFont="1" applyBorder="1">
      <alignment/>
      <protection/>
    </xf>
    <xf numFmtId="49" fontId="6" fillId="0" borderId="11" xfId="54" applyNumberFormat="1" applyFont="1" applyBorder="1" applyAlignment="1">
      <alignment horizontal="center"/>
      <protection/>
    </xf>
    <xf numFmtId="43" fontId="6" fillId="0" borderId="0" xfId="45" applyFont="1" applyBorder="1" applyAlignment="1">
      <alignment horizontal="right"/>
    </xf>
    <xf numFmtId="43" fontId="6" fillId="0" borderId="11" xfId="45" applyFont="1" applyBorder="1" applyAlignment="1">
      <alignment/>
    </xf>
    <xf numFmtId="4" fontId="6" fillId="0" borderId="10" xfId="54" applyNumberFormat="1" applyFont="1" applyBorder="1">
      <alignment/>
      <protection/>
    </xf>
    <xf numFmtId="0" fontId="6" fillId="0" borderId="16" xfId="54" applyFont="1" applyBorder="1" applyAlignment="1">
      <alignment horizontal="center"/>
      <protection/>
    </xf>
    <xf numFmtId="0" fontId="6" fillId="0" borderId="0" xfId="54" applyFont="1" applyBorder="1" applyAlignment="1" quotePrefix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4" fontId="6" fillId="0" borderId="16" xfId="54" applyNumberFormat="1" applyFont="1" applyBorder="1" applyAlignment="1">
      <alignment horizontal="center" vertical="center"/>
      <protection/>
    </xf>
    <xf numFmtId="0" fontId="6" fillId="0" borderId="31" xfId="54" applyFont="1" applyBorder="1">
      <alignment/>
      <protection/>
    </xf>
    <xf numFmtId="4" fontId="6" fillId="0" borderId="0" xfId="54" applyNumberFormat="1" applyFont="1" applyBorder="1" applyAlignment="1">
      <alignment horizontal="center" vertical="center"/>
      <protection/>
    </xf>
    <xf numFmtId="0" fontId="20" fillId="0" borderId="0" xfId="54" applyFont="1" applyBorder="1">
      <alignment/>
      <protection/>
    </xf>
    <xf numFmtId="4" fontId="6" fillId="0" borderId="13" xfId="45" applyNumberFormat="1" applyFont="1" applyBorder="1" applyAlignment="1">
      <alignment/>
    </xf>
    <xf numFmtId="194" fontId="6" fillId="0" borderId="11" xfId="38" applyFont="1" applyBorder="1" applyAlignment="1">
      <alignment/>
    </xf>
    <xf numFmtId="4" fontId="6" fillId="0" borderId="0" xfId="45" applyNumberFormat="1" applyFont="1" applyBorder="1" applyAlignment="1">
      <alignment horizontal="center"/>
    </xf>
    <xf numFmtId="43" fontId="6" fillId="0" borderId="0" xfId="45" applyFont="1" applyAlignment="1">
      <alignment horizontal="center"/>
    </xf>
    <xf numFmtId="0" fontId="6" fillId="0" borderId="0" xfId="54" applyFont="1" applyAlignment="1">
      <alignment horizontal="center"/>
      <protection/>
    </xf>
    <xf numFmtId="4" fontId="6" fillId="0" borderId="11" xfId="45" applyNumberFormat="1" applyFont="1" applyBorder="1" applyAlignment="1">
      <alignment/>
    </xf>
    <xf numFmtId="43" fontId="6" fillId="0" borderId="0" xfId="54" applyNumberFormat="1" applyFont="1">
      <alignment/>
      <protection/>
    </xf>
    <xf numFmtId="4" fontId="6" fillId="0" borderId="11" xfId="54" applyNumberFormat="1" applyFont="1" applyBorder="1" quotePrefix="1">
      <alignment/>
      <protection/>
    </xf>
    <xf numFmtId="194" fontId="6" fillId="0" borderId="11" xfId="38" applyFont="1" applyBorder="1" applyAlignment="1">
      <alignment/>
    </xf>
    <xf numFmtId="4" fontId="6" fillId="0" borderId="0" xfId="45" applyNumberFormat="1" applyFont="1" applyBorder="1" applyAlignment="1">
      <alignment horizontal="left"/>
    </xf>
    <xf numFmtId="4" fontId="6" fillId="0" borderId="13" xfId="45" applyNumberFormat="1" applyFont="1" applyBorder="1" applyAlignment="1" quotePrefix="1">
      <alignment horizontal="right"/>
    </xf>
    <xf numFmtId="4" fontId="6" fillId="0" borderId="38" xfId="45" applyNumberFormat="1" applyFont="1" applyBorder="1" applyAlignment="1">
      <alignment horizontal="right" vertical="center"/>
    </xf>
    <xf numFmtId="4" fontId="6" fillId="0" borderId="38" xfId="54" applyNumberFormat="1" applyFont="1" applyBorder="1" applyAlignment="1">
      <alignment vertical="center"/>
      <protection/>
    </xf>
    <xf numFmtId="4" fontId="6" fillId="0" borderId="0" xfId="54" applyNumberFormat="1" applyFont="1" applyBorder="1" applyAlignment="1">
      <alignment vertical="center"/>
      <protection/>
    </xf>
    <xf numFmtId="194" fontId="6" fillId="0" borderId="11" xfId="38" applyFont="1" applyBorder="1" applyAlignment="1">
      <alignment horizontal="right"/>
    </xf>
    <xf numFmtId="4" fontId="6" fillId="0" borderId="12" xfId="54" applyNumberFormat="1" applyFont="1" applyBorder="1">
      <alignment/>
      <protection/>
    </xf>
    <xf numFmtId="43" fontId="6" fillId="0" borderId="0" xfId="45" applyFont="1" applyBorder="1" applyAlignment="1">
      <alignment/>
    </xf>
    <xf numFmtId="4" fontId="6" fillId="0" borderId="31" xfId="54" applyNumberFormat="1" applyFont="1" applyBorder="1">
      <alignment/>
      <protection/>
    </xf>
    <xf numFmtId="4" fontId="6" fillId="0" borderId="17" xfId="54" applyNumberFormat="1" applyFont="1" applyBorder="1" applyAlignment="1">
      <alignment horizontal="center" vertical="center"/>
      <protection/>
    </xf>
    <xf numFmtId="0" fontId="6" fillId="0" borderId="37" xfId="54" applyFont="1" applyBorder="1" applyAlignment="1">
      <alignment vertical="center"/>
      <protection/>
    </xf>
    <xf numFmtId="4" fontId="6" fillId="0" borderId="20" xfId="54" applyNumberFormat="1" applyFont="1" applyBorder="1" applyAlignment="1">
      <alignment horizontal="center" vertical="center"/>
      <protection/>
    </xf>
    <xf numFmtId="4" fontId="6" fillId="0" borderId="11" xfId="54" applyNumberFormat="1" applyFont="1" applyBorder="1" applyAlignment="1" quotePrefix="1">
      <alignment horizontal="right"/>
      <protection/>
    </xf>
    <xf numFmtId="4" fontId="6" fillId="0" borderId="0" xfId="54" applyNumberFormat="1" applyFont="1" applyBorder="1" applyAlignment="1" quotePrefix="1">
      <alignment horizontal="right"/>
      <protection/>
    </xf>
    <xf numFmtId="4" fontId="6" fillId="0" borderId="0" xfId="54" applyNumberFormat="1" applyFont="1" applyBorder="1" applyAlignment="1">
      <alignment horizontal="right"/>
      <protection/>
    </xf>
    <xf numFmtId="4" fontId="78" fillId="0" borderId="0" xfId="54" applyNumberFormat="1" applyFont="1" applyBorder="1">
      <alignment/>
      <protection/>
    </xf>
    <xf numFmtId="4" fontId="79" fillId="0" borderId="0" xfId="54" applyNumberFormat="1" applyFont="1" applyBorder="1">
      <alignment/>
      <protection/>
    </xf>
    <xf numFmtId="0" fontId="79" fillId="0" borderId="0" xfId="54" applyFont="1" applyBorder="1" applyAlignment="1">
      <alignment horizontal="center"/>
      <protection/>
    </xf>
    <xf numFmtId="0" fontId="78" fillId="0" borderId="0" xfId="54" applyFont="1" applyBorder="1" applyAlignment="1">
      <alignment horizontal="center"/>
      <protection/>
    </xf>
    <xf numFmtId="4" fontId="79" fillId="0" borderId="0" xfId="54" applyNumberFormat="1" applyFont="1" applyFill="1" applyBorder="1">
      <alignment/>
      <protection/>
    </xf>
    <xf numFmtId="43" fontId="78" fillId="0" borderId="0" xfId="45" applyFont="1" applyAlignment="1">
      <alignment/>
    </xf>
    <xf numFmtId="0" fontId="78" fillId="0" borderId="0" xfId="54" applyFont="1">
      <alignment/>
      <protection/>
    </xf>
    <xf numFmtId="4" fontId="78" fillId="0" borderId="0" xfId="54" applyNumberFormat="1" applyFont="1" applyFill="1">
      <alignment/>
      <protection/>
    </xf>
    <xf numFmtId="4" fontId="6" fillId="0" borderId="11" xfId="54" applyNumberFormat="1" applyFont="1" applyBorder="1" applyAlignment="1">
      <alignment horizontal="center" vertical="center"/>
      <protection/>
    </xf>
    <xf numFmtId="4" fontId="6" fillId="0" borderId="0" xfId="45" applyNumberFormat="1" applyFont="1" applyBorder="1" applyAlignment="1">
      <alignment horizontal="right" vertical="center"/>
    </xf>
    <xf numFmtId="4" fontId="6" fillId="0" borderId="11" xfId="45" applyNumberFormat="1" applyFont="1" applyBorder="1" applyAlignment="1">
      <alignment horizontal="right" vertical="center"/>
    </xf>
    <xf numFmtId="43" fontId="73" fillId="0" borderId="0" xfId="45" applyFont="1" applyBorder="1" applyAlignment="1">
      <alignment horizontal="right"/>
    </xf>
    <xf numFmtId="43" fontId="80" fillId="0" borderId="0" xfId="53" applyNumberFormat="1" applyFont="1" applyBorder="1">
      <alignment/>
      <protection/>
    </xf>
    <xf numFmtId="43" fontId="80" fillId="0" borderId="0" xfId="41" applyFont="1" applyAlignment="1">
      <alignment/>
    </xf>
    <xf numFmtId="43" fontId="80" fillId="0" borderId="0" xfId="53" applyNumberFormat="1" applyFont="1">
      <alignment/>
      <protection/>
    </xf>
    <xf numFmtId="4" fontId="6" fillId="0" borderId="12" xfId="45" applyNumberFormat="1" applyFont="1" applyBorder="1" applyAlignment="1">
      <alignment vertical="center"/>
    </xf>
    <xf numFmtId="0" fontId="8" fillId="0" borderId="13" xfId="57" applyFont="1" applyBorder="1" applyAlignment="1" quotePrefix="1">
      <alignment horizontal="center"/>
      <protection/>
    </xf>
    <xf numFmtId="0" fontId="8" fillId="0" borderId="12" xfId="57" applyFont="1" applyBorder="1" applyAlignment="1">
      <alignment horizontal="left" vertical="top" wrapText="1"/>
      <protection/>
    </xf>
    <xf numFmtId="43" fontId="8" fillId="0" borderId="30" xfId="45" applyFont="1" applyBorder="1" applyAlignment="1">
      <alignment/>
    </xf>
    <xf numFmtId="0" fontId="8" fillId="0" borderId="35" xfId="57" applyFont="1" applyBorder="1" applyAlignment="1" quotePrefix="1">
      <alignment horizontal="center"/>
      <protection/>
    </xf>
    <xf numFmtId="0" fontId="8" fillId="0" borderId="36" xfId="57" applyFont="1" applyBorder="1" applyAlignment="1">
      <alignment horizontal="left" vertical="top" wrapText="1"/>
      <protection/>
    </xf>
    <xf numFmtId="0" fontId="3" fillId="0" borderId="36" xfId="57" applyFont="1" applyBorder="1" applyAlignment="1">
      <alignment horizontal="center" vertical="top" wrapText="1"/>
      <protection/>
    </xf>
    <xf numFmtId="0" fontId="81" fillId="0" borderId="0" xfId="54" applyFont="1" applyAlignment="1">
      <alignment horizontal="center"/>
      <protection/>
    </xf>
    <xf numFmtId="0" fontId="73" fillId="0" borderId="0" xfId="54" applyFont="1">
      <alignment/>
      <protection/>
    </xf>
    <xf numFmtId="43" fontId="81" fillId="0" borderId="0" xfId="45" applyFont="1" applyBorder="1" applyAlignment="1">
      <alignment/>
    </xf>
    <xf numFmtId="4" fontId="73" fillId="0" borderId="0" xfId="54" applyNumberFormat="1" applyFont="1">
      <alignment/>
      <protection/>
    </xf>
    <xf numFmtId="0" fontId="5" fillId="0" borderId="0" xfId="54" applyFont="1">
      <alignment/>
      <protection/>
    </xf>
    <xf numFmtId="43" fontId="5" fillId="0" borderId="0" xfId="45" applyFont="1" applyAlignment="1">
      <alignment vertical="center"/>
    </xf>
    <xf numFmtId="194" fontId="5" fillId="0" borderId="0" xfId="38" applyFont="1" applyAlignment="1">
      <alignment vertical="center"/>
    </xf>
    <xf numFmtId="194" fontId="6" fillId="0" borderId="0" xfId="38" applyFont="1" applyAlignment="1">
      <alignment vertical="center"/>
    </xf>
    <xf numFmtId="194" fontId="5" fillId="0" borderId="0" xfId="54" applyNumberFormat="1" applyFont="1" applyAlignment="1">
      <alignment vertical="center"/>
      <protection/>
    </xf>
    <xf numFmtId="0" fontId="81" fillId="0" borderId="0" xfId="54" applyFont="1" applyAlignment="1">
      <alignment/>
      <protection/>
    </xf>
    <xf numFmtId="0" fontId="81" fillId="0" borderId="0" xfId="54" applyFont="1" applyAlignment="1">
      <alignment vertical="center"/>
      <protection/>
    </xf>
    <xf numFmtId="0" fontId="81" fillId="0" borderId="0" xfId="54" applyFont="1" applyBorder="1" applyAlignment="1">
      <alignment vertical="center"/>
      <protection/>
    </xf>
    <xf numFmtId="43" fontId="81" fillId="0" borderId="0" xfId="45" applyFont="1" applyAlignment="1">
      <alignment horizontal="center"/>
    </xf>
    <xf numFmtId="43" fontId="73" fillId="0" borderId="0" xfId="45" applyFont="1" applyAlignment="1">
      <alignment horizontal="left"/>
    </xf>
    <xf numFmtId="0" fontId="81" fillId="0" borderId="0" xfId="54" applyFont="1" applyAlignment="1">
      <alignment horizontal="left"/>
      <protection/>
    </xf>
    <xf numFmtId="0" fontId="82" fillId="0" borderId="0" xfId="54" applyFont="1" applyAlignment="1">
      <alignment horizontal="left"/>
      <protection/>
    </xf>
    <xf numFmtId="43" fontId="81" fillId="0" borderId="0" xfId="45" applyFont="1" applyBorder="1" applyAlignment="1">
      <alignment horizontal="center"/>
    </xf>
    <xf numFmtId="43" fontId="73" fillId="0" borderId="0" xfId="45" applyFont="1" applyAlignment="1">
      <alignment horizontal="center"/>
    </xf>
    <xf numFmtId="194" fontId="73" fillId="0" borderId="0" xfId="38" applyFont="1" applyBorder="1" applyAlignment="1">
      <alignment/>
    </xf>
    <xf numFmtId="4" fontId="73" fillId="0" borderId="0" xfId="45" applyNumberFormat="1" applyFont="1" applyBorder="1" applyAlignment="1">
      <alignment/>
    </xf>
    <xf numFmtId="0" fontId="73" fillId="0" borderId="0" xfId="54" applyFont="1" applyAlignment="1">
      <alignment horizontal="left"/>
      <protection/>
    </xf>
    <xf numFmtId="4" fontId="73" fillId="0" borderId="39" xfId="54" applyNumberFormat="1" applyFont="1" applyBorder="1">
      <alignment/>
      <protection/>
    </xf>
    <xf numFmtId="49" fontId="83" fillId="0" borderId="0" xfId="58" applyNumberFormat="1" applyFont="1" applyBorder="1">
      <alignment/>
      <protection/>
    </xf>
    <xf numFmtId="49" fontId="84" fillId="0" borderId="0" xfId="58" applyNumberFormat="1" applyFont="1" applyBorder="1">
      <alignment/>
      <protection/>
    </xf>
    <xf numFmtId="49" fontId="72" fillId="0" borderId="0" xfId="58" applyNumberFormat="1" applyFont="1" applyBorder="1">
      <alignment/>
      <protection/>
    </xf>
    <xf numFmtId="43" fontId="84" fillId="0" borderId="0" xfId="45" applyFont="1" applyAlignment="1">
      <alignment/>
    </xf>
    <xf numFmtId="49" fontId="84" fillId="0" borderId="0" xfId="58" applyNumberFormat="1" applyFont="1">
      <alignment/>
      <protection/>
    </xf>
    <xf numFmtId="49" fontId="73" fillId="0" borderId="0" xfId="58" applyNumberFormat="1" applyFont="1" applyBorder="1" applyAlignment="1">
      <alignment horizontal="center" vertical="center"/>
      <protection/>
    </xf>
    <xf numFmtId="49" fontId="73" fillId="0" borderId="37" xfId="58" applyNumberFormat="1" applyFont="1" applyBorder="1" applyAlignment="1">
      <alignment horizontal="center" vertical="center"/>
      <protection/>
    </xf>
    <xf numFmtId="49" fontId="81" fillId="0" borderId="37" xfId="58" applyNumberFormat="1" applyFont="1" applyBorder="1" applyAlignment="1">
      <alignment horizontal="center" vertical="center"/>
      <protection/>
    </xf>
    <xf numFmtId="49" fontId="73" fillId="0" borderId="0" xfId="58" applyNumberFormat="1" applyFont="1">
      <alignment/>
      <protection/>
    </xf>
    <xf numFmtId="49" fontId="81" fillId="0" borderId="0" xfId="58" applyNumberFormat="1" applyFont="1" applyBorder="1">
      <alignment/>
      <protection/>
    </xf>
    <xf numFmtId="49" fontId="73" fillId="0" borderId="0" xfId="58" applyNumberFormat="1" applyFont="1" applyBorder="1">
      <alignment/>
      <protection/>
    </xf>
    <xf numFmtId="43" fontId="81" fillId="0" borderId="0" xfId="45" applyFont="1" applyBorder="1" applyAlignment="1" quotePrefix="1">
      <alignment horizontal="center"/>
    </xf>
    <xf numFmtId="49" fontId="82" fillId="0" borderId="0" xfId="58" applyNumberFormat="1" applyFont="1" applyBorder="1" applyAlignment="1">
      <alignment horizontal="center"/>
      <protection/>
    </xf>
    <xf numFmtId="49" fontId="81" fillId="0" borderId="0" xfId="58" applyNumberFormat="1" applyFont="1" applyBorder="1" applyAlignment="1">
      <alignment horizontal="center"/>
      <protection/>
    </xf>
    <xf numFmtId="49" fontId="73" fillId="0" borderId="0" xfId="58" applyNumberFormat="1" applyFont="1" applyBorder="1" applyAlignment="1">
      <alignment horizontal="center"/>
      <protection/>
    </xf>
    <xf numFmtId="49" fontId="73" fillId="0" borderId="0" xfId="58" applyNumberFormat="1" applyFont="1" applyBorder="1" applyAlignment="1">
      <alignment horizontal="right"/>
      <protection/>
    </xf>
    <xf numFmtId="196" fontId="73" fillId="0" borderId="0" xfId="58" applyNumberFormat="1" applyFont="1" applyBorder="1" applyAlignment="1">
      <alignment horizontal="left" indent="1"/>
      <protection/>
    </xf>
    <xf numFmtId="43" fontId="73" fillId="0" borderId="0" xfId="45" applyFont="1" applyBorder="1" applyAlignment="1">
      <alignment/>
    </xf>
    <xf numFmtId="2" fontId="73" fillId="0" borderId="0" xfId="58" applyNumberFormat="1" applyFont="1" applyBorder="1">
      <alignment/>
      <protection/>
    </xf>
    <xf numFmtId="49" fontId="82" fillId="0" borderId="0" xfId="58" applyNumberFormat="1" applyFont="1" applyBorder="1">
      <alignment/>
      <protection/>
    </xf>
    <xf numFmtId="43" fontId="81" fillId="0" borderId="0" xfId="45" applyNumberFormat="1" applyFont="1" applyBorder="1" applyAlignment="1">
      <alignment horizontal="center"/>
    </xf>
    <xf numFmtId="49" fontId="73" fillId="0" borderId="31" xfId="58" applyNumberFormat="1" applyFont="1" applyBorder="1">
      <alignment/>
      <protection/>
    </xf>
    <xf numFmtId="49" fontId="81" fillId="0" borderId="37" xfId="58" applyNumberFormat="1" applyFont="1" applyBorder="1">
      <alignment/>
      <protection/>
    </xf>
    <xf numFmtId="49" fontId="73" fillId="0" borderId="37" xfId="58" applyNumberFormat="1" applyFont="1" applyBorder="1">
      <alignment/>
      <protection/>
    </xf>
    <xf numFmtId="49" fontId="81" fillId="0" borderId="20" xfId="58" applyNumberFormat="1" applyFont="1" applyBorder="1">
      <alignment/>
      <protection/>
    </xf>
    <xf numFmtId="49" fontId="81" fillId="0" borderId="13" xfId="58" applyNumberFormat="1" applyFont="1" applyBorder="1">
      <alignment/>
      <protection/>
    </xf>
    <xf numFmtId="49" fontId="73" fillId="0" borderId="13" xfId="58" applyNumberFormat="1" applyFont="1" applyBorder="1">
      <alignment/>
      <protection/>
    </xf>
    <xf numFmtId="49" fontId="73" fillId="0" borderId="0" xfId="58" applyNumberFormat="1" applyFont="1" applyBorder="1" applyAlignment="1">
      <alignment horizontal="left"/>
      <protection/>
    </xf>
    <xf numFmtId="49" fontId="73" fillId="0" borderId="12" xfId="58" applyNumberFormat="1" applyFont="1" applyBorder="1" applyAlignment="1">
      <alignment horizontal="left"/>
      <protection/>
    </xf>
    <xf numFmtId="49" fontId="73" fillId="0" borderId="13" xfId="58" applyNumberFormat="1" applyFont="1" applyBorder="1" applyAlignment="1">
      <alignment horizontal="left"/>
      <protection/>
    </xf>
    <xf numFmtId="43" fontId="85" fillId="0" borderId="31" xfId="45" applyNumberFormat="1" applyFont="1" applyBorder="1" applyAlignment="1">
      <alignment horizontal="center"/>
    </xf>
    <xf numFmtId="43" fontId="86" fillId="0" borderId="37" xfId="45" applyFont="1" applyBorder="1" applyAlignment="1">
      <alignment/>
    </xf>
    <xf numFmtId="43" fontId="8" fillId="0" borderId="27" xfId="45" applyFont="1" applyBorder="1" applyAlignment="1">
      <alignment vertical="top"/>
    </xf>
    <xf numFmtId="0" fontId="13" fillId="0" borderId="11" xfId="54" applyFont="1" applyBorder="1">
      <alignment/>
      <protection/>
    </xf>
    <xf numFmtId="0" fontId="8" fillId="0" borderId="11" xfId="54" applyFont="1" applyBorder="1">
      <alignment/>
      <protection/>
    </xf>
    <xf numFmtId="4" fontId="6" fillId="0" borderId="0" xfId="45" applyNumberFormat="1" applyFont="1" applyBorder="1" applyAlignment="1">
      <alignment/>
    </xf>
    <xf numFmtId="194" fontId="6" fillId="0" borderId="38" xfId="38" applyFont="1" applyBorder="1" applyAlignment="1">
      <alignment horizontal="right" vertical="center"/>
    </xf>
    <xf numFmtId="194" fontId="6" fillId="0" borderId="0" xfId="38" applyFont="1" applyBorder="1" applyAlignment="1">
      <alignment/>
    </xf>
    <xf numFmtId="194" fontId="6" fillId="0" borderId="13" xfId="38" applyFont="1" applyBorder="1" applyAlignment="1">
      <alignment/>
    </xf>
    <xf numFmtId="43" fontId="87" fillId="0" borderId="0" xfId="45" applyFont="1" applyAlignment="1">
      <alignment/>
    </xf>
    <xf numFmtId="0" fontId="87" fillId="0" borderId="0" xfId="54" applyFont="1">
      <alignment/>
      <protection/>
    </xf>
    <xf numFmtId="43" fontId="87" fillId="0" borderId="0" xfId="45" applyFont="1" applyAlignment="1">
      <alignment vertical="center"/>
    </xf>
    <xf numFmtId="4" fontId="87" fillId="0" borderId="0" xfId="54" applyNumberFormat="1" applyFont="1" applyAlignment="1">
      <alignment vertical="center"/>
      <protection/>
    </xf>
    <xf numFmtId="0" fontId="78" fillId="0" borderId="0" xfId="54" applyFont="1" applyAlignment="1">
      <alignment vertical="center"/>
      <protection/>
    </xf>
    <xf numFmtId="4" fontId="78" fillId="0" borderId="0" xfId="45" applyNumberFormat="1" applyFont="1" applyBorder="1" applyAlignment="1">
      <alignment vertical="center"/>
    </xf>
    <xf numFmtId="0" fontId="88" fillId="0" borderId="0" xfId="54" applyFont="1">
      <alignment/>
      <protection/>
    </xf>
    <xf numFmtId="43" fontId="89" fillId="0" borderId="0" xfId="45" applyFont="1" applyBorder="1" applyAlignment="1">
      <alignment horizontal="right"/>
    </xf>
    <xf numFmtId="0" fontId="4" fillId="0" borderId="17" xfId="54" applyFont="1" applyBorder="1" applyAlignment="1">
      <alignment horizontal="center"/>
      <protection/>
    </xf>
    <xf numFmtId="0" fontId="4" fillId="0" borderId="19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10" fillId="0" borderId="17" xfId="57" applyFont="1" applyFill="1" applyBorder="1" applyAlignment="1">
      <alignment horizontal="center"/>
      <protection/>
    </xf>
    <xf numFmtId="0" fontId="10" fillId="0" borderId="19" xfId="57" applyFont="1" applyFill="1" applyBorder="1" applyAlignment="1" quotePrefix="1">
      <alignment horizontal="center"/>
      <protection/>
    </xf>
    <xf numFmtId="0" fontId="8" fillId="0" borderId="17" xfId="57" applyFont="1" applyFill="1" applyBorder="1" applyAlignment="1">
      <alignment horizontal="center"/>
      <protection/>
    </xf>
    <xf numFmtId="0" fontId="8" fillId="0" borderId="19" xfId="57" applyFont="1" applyFill="1" applyBorder="1" applyAlignment="1" quotePrefix="1">
      <alignment horizontal="center"/>
      <protection/>
    </xf>
    <xf numFmtId="0" fontId="81" fillId="0" borderId="0" xfId="54" applyFont="1" applyAlignment="1">
      <alignment horizontal="center"/>
      <protection/>
    </xf>
    <xf numFmtId="0" fontId="81" fillId="0" borderId="0" xfId="54" applyFont="1" applyAlignment="1">
      <alignment horizontal="center" vertical="center"/>
      <protection/>
    </xf>
    <xf numFmtId="0" fontId="81" fillId="0" borderId="0" xfId="54" applyFont="1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43" fontId="7" fillId="0" borderId="10" xfId="44" applyFont="1" applyBorder="1" applyAlignment="1">
      <alignment horizontal="center"/>
    </xf>
    <xf numFmtId="0" fontId="8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4" fontId="6" fillId="0" borderId="17" xfId="54" applyNumberFormat="1" applyFont="1" applyBorder="1" applyAlignment="1">
      <alignment horizontal="center"/>
      <protection/>
    </xf>
    <xf numFmtId="4" fontId="6" fillId="0" borderId="18" xfId="54" applyNumberFormat="1" applyFont="1" applyBorder="1" applyAlignment="1">
      <alignment horizontal="center"/>
      <protection/>
    </xf>
    <xf numFmtId="4" fontId="6" fillId="0" borderId="19" xfId="54" applyNumberFormat="1" applyFont="1" applyBorder="1" applyAlignment="1">
      <alignment horizontal="center"/>
      <protection/>
    </xf>
    <xf numFmtId="0" fontId="6" fillId="0" borderId="29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29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4" fontId="4" fillId="0" borderId="0" xfId="54" applyNumberFormat="1" applyFont="1" applyAlignment="1">
      <alignment horizontal="center" vertical="center"/>
      <protection/>
    </xf>
    <xf numFmtId="0" fontId="4" fillId="0" borderId="0" xfId="54" applyFont="1" applyBorder="1" applyAlignment="1">
      <alignment horizontal="center" vertical="top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2" fillId="0" borderId="40" xfId="53" applyFont="1" applyBorder="1" applyAlignment="1">
      <alignment horizontal="left"/>
      <protection/>
    </xf>
    <xf numFmtId="0" fontId="2" fillId="0" borderId="41" xfId="53" applyFont="1" applyBorder="1" applyAlignment="1">
      <alignment horizontal="left"/>
      <protection/>
    </xf>
    <xf numFmtId="0" fontId="2" fillId="0" borderId="42" xfId="53" applyFont="1" applyBorder="1" applyAlignment="1">
      <alignment horizontal="left"/>
      <protection/>
    </xf>
    <xf numFmtId="0" fontId="2" fillId="0" borderId="43" xfId="53" applyFont="1" applyBorder="1" applyAlignment="1">
      <alignment horizontal="left"/>
      <protection/>
    </xf>
    <xf numFmtId="0" fontId="2" fillId="0" borderId="44" xfId="53" applyFont="1" applyBorder="1" applyAlignment="1">
      <alignment horizontal="left"/>
      <protection/>
    </xf>
    <xf numFmtId="0" fontId="2" fillId="0" borderId="45" xfId="53" applyFont="1" applyBorder="1" applyAlignment="1">
      <alignment horizontal="left"/>
      <protection/>
    </xf>
    <xf numFmtId="49" fontId="8" fillId="0" borderId="10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49" fontId="83" fillId="0" borderId="13" xfId="58" applyNumberFormat="1" applyFont="1" applyBorder="1" applyAlignment="1">
      <alignment horizontal="center" vertical="center"/>
      <protection/>
    </xf>
    <xf numFmtId="49" fontId="83" fillId="0" borderId="0" xfId="58" applyNumberFormat="1" applyFont="1" applyBorder="1" applyAlignment="1">
      <alignment horizontal="center" vertical="center"/>
      <protection/>
    </xf>
    <xf numFmtId="49" fontId="84" fillId="0" borderId="0" xfId="58" applyNumberFormat="1" applyFont="1" applyBorder="1" applyAlignment="1">
      <alignment horizontal="center" vertical="center"/>
      <protection/>
    </xf>
    <xf numFmtId="49" fontId="84" fillId="0" borderId="12" xfId="58" applyNumberFormat="1" applyFont="1" applyBorder="1" applyAlignment="1">
      <alignment horizontal="center" vertical="center"/>
      <protection/>
    </xf>
    <xf numFmtId="49" fontId="84" fillId="0" borderId="31" xfId="58" applyNumberFormat="1" applyFont="1" applyBorder="1" applyAlignment="1">
      <alignment horizontal="center" vertical="center"/>
      <protection/>
    </xf>
    <xf numFmtId="49" fontId="84" fillId="0" borderId="15" xfId="58" applyNumberFormat="1" applyFont="1" applyBorder="1" applyAlignment="1">
      <alignment horizontal="center" vertical="center"/>
      <protection/>
    </xf>
    <xf numFmtId="49" fontId="84" fillId="0" borderId="13" xfId="58" applyNumberFormat="1" applyFont="1" applyBorder="1" applyAlignment="1">
      <alignment horizontal="center" vertical="center"/>
      <protection/>
    </xf>
    <xf numFmtId="49" fontId="84" fillId="0" borderId="14" xfId="58" applyNumberFormat="1" applyFont="1" applyBorder="1" applyAlignment="1">
      <alignment horizontal="center" vertical="center"/>
      <protection/>
    </xf>
    <xf numFmtId="49" fontId="73" fillId="0" borderId="0" xfId="58" applyNumberFormat="1" applyFont="1" applyBorder="1" applyAlignment="1">
      <alignment horizontal="left"/>
      <protection/>
    </xf>
    <xf numFmtId="49" fontId="73" fillId="0" borderId="12" xfId="58" applyNumberFormat="1" applyFont="1" applyBorder="1" applyAlignment="1">
      <alignment horizontal="left"/>
      <protection/>
    </xf>
    <xf numFmtId="49" fontId="73" fillId="0" borderId="13" xfId="58" applyNumberFormat="1" applyFont="1" applyBorder="1" applyAlignment="1">
      <alignment horizontal="left"/>
      <protection/>
    </xf>
    <xf numFmtId="49" fontId="73" fillId="0" borderId="31" xfId="58" applyNumberFormat="1" applyFont="1" applyBorder="1" applyAlignment="1">
      <alignment horizontal="left"/>
      <protection/>
    </xf>
    <xf numFmtId="49" fontId="73" fillId="0" borderId="15" xfId="58" applyNumberFormat="1" applyFont="1" applyBorder="1" applyAlignment="1">
      <alignment horizontal="left"/>
      <protection/>
    </xf>
    <xf numFmtId="49" fontId="73" fillId="0" borderId="14" xfId="58" applyNumberFormat="1" applyFont="1" applyBorder="1" applyAlignment="1">
      <alignment horizontal="left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5" xfId="33"/>
    <cellStyle name="Normal 5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เครื่องหมายจุลภาค 3 2" xfId="43"/>
    <cellStyle name="เครื่องหมายจุลภาค 3 2 2" xfId="44"/>
    <cellStyle name="เครื่องหมายจุลภาค 4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2 2" xfId="53"/>
    <cellStyle name="ปกติ 3" xfId="54"/>
    <cellStyle name="ปกติ 3 2" xfId="55"/>
    <cellStyle name="ปกติ 4" xfId="56"/>
    <cellStyle name="ปกติ_Sheet1" xfId="57"/>
    <cellStyle name="ปกติ_งบกระทบยอดเงินฝากธนาคาร" xfId="58"/>
    <cellStyle name="ปกติ_หมายเหตุ 1 รายรับจริง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5</xdr:row>
      <xdr:rowOff>0</xdr:rowOff>
    </xdr:from>
    <xdr:to>
      <xdr:col>3</xdr:col>
      <xdr:colOff>847725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1238250"/>
          <a:ext cx="0" cy="693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</xdr:row>
      <xdr:rowOff>247650</xdr:rowOff>
    </xdr:from>
    <xdr:to>
      <xdr:col>4</xdr:col>
      <xdr:colOff>847725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5953125" y="1238250"/>
          <a:ext cx="0" cy="693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57150</xdr:rowOff>
    </xdr:from>
    <xdr:to>
      <xdr:col>6</xdr:col>
      <xdr:colOff>723900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53200" y="361950"/>
          <a:ext cx="847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0</xdr:row>
      <xdr:rowOff>0</xdr:rowOff>
    </xdr:from>
    <xdr:to>
      <xdr:col>6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9</xdr:row>
      <xdr:rowOff>0</xdr:rowOff>
    </xdr:from>
    <xdr:to>
      <xdr:col>0</xdr:col>
      <xdr:colOff>685800</xdr:colOff>
      <xdr:row>27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685800" y="2657475"/>
          <a:ext cx="0" cy="561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9</xdr:row>
      <xdr:rowOff>0</xdr:rowOff>
    </xdr:from>
    <xdr:to>
      <xdr:col>3</xdr:col>
      <xdr:colOff>781050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3381375" y="2657475"/>
          <a:ext cx="0" cy="1144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9</xdr:row>
      <xdr:rowOff>0</xdr:rowOff>
    </xdr:from>
    <xdr:to>
      <xdr:col>6</xdr:col>
      <xdr:colOff>752475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2657475"/>
          <a:ext cx="0" cy="1144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56</xdr:row>
      <xdr:rowOff>0</xdr:rowOff>
    </xdr:from>
    <xdr:to>
      <xdr:col>0</xdr:col>
      <xdr:colOff>666750</xdr:colOff>
      <xdr:row>72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66750" y="16097250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56</xdr:row>
      <xdr:rowOff>9525</xdr:rowOff>
    </xdr:from>
    <xdr:to>
      <xdr:col>3</xdr:col>
      <xdr:colOff>781050</xdr:colOff>
      <xdr:row>93</xdr:row>
      <xdr:rowOff>9525</xdr:rowOff>
    </xdr:to>
    <xdr:sp>
      <xdr:nvSpPr>
        <xdr:cNvPr id="5" name="Line 5"/>
        <xdr:cNvSpPr>
          <a:spLocks/>
        </xdr:cNvSpPr>
      </xdr:nvSpPr>
      <xdr:spPr>
        <a:xfrm>
          <a:off x="3381375" y="16106775"/>
          <a:ext cx="0" cy="795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56</xdr:row>
      <xdr:rowOff>0</xdr:rowOff>
    </xdr:from>
    <xdr:to>
      <xdr:col>6</xdr:col>
      <xdr:colOff>742950</xdr:colOff>
      <xdr:row>87</xdr:row>
      <xdr:rowOff>247650</xdr:rowOff>
    </xdr:to>
    <xdr:sp>
      <xdr:nvSpPr>
        <xdr:cNvPr id="6" name="Line 6"/>
        <xdr:cNvSpPr>
          <a:spLocks/>
        </xdr:cNvSpPr>
      </xdr:nvSpPr>
      <xdr:spPr>
        <a:xfrm>
          <a:off x="7886700" y="16097250"/>
          <a:ext cx="0" cy="794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93</xdr:row>
      <xdr:rowOff>28575</xdr:rowOff>
    </xdr:from>
    <xdr:to>
      <xdr:col>3</xdr:col>
      <xdr:colOff>781050</xdr:colOff>
      <xdr:row>97</xdr:row>
      <xdr:rowOff>200025</xdr:rowOff>
    </xdr:to>
    <xdr:sp>
      <xdr:nvSpPr>
        <xdr:cNvPr id="7" name="Line 7"/>
        <xdr:cNvSpPr>
          <a:spLocks/>
        </xdr:cNvSpPr>
      </xdr:nvSpPr>
      <xdr:spPr>
        <a:xfrm>
          <a:off x="3381375" y="240792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93</xdr:row>
      <xdr:rowOff>28575</xdr:rowOff>
    </xdr:from>
    <xdr:to>
      <xdr:col>6</xdr:col>
      <xdr:colOff>742950</xdr:colOff>
      <xdr:row>97</xdr:row>
      <xdr:rowOff>209550</xdr:rowOff>
    </xdr:to>
    <xdr:sp>
      <xdr:nvSpPr>
        <xdr:cNvPr id="8" name="Line 8"/>
        <xdr:cNvSpPr>
          <a:spLocks/>
        </xdr:cNvSpPr>
      </xdr:nvSpPr>
      <xdr:spPr>
        <a:xfrm>
          <a:off x="7886700" y="2407920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7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5.421875" style="36" customWidth="1"/>
    <col min="2" max="2" width="46.00390625" style="36" customWidth="1"/>
    <col min="3" max="3" width="9.8515625" style="36" customWidth="1"/>
    <col min="4" max="5" width="15.28125" style="35" customWidth="1"/>
    <col min="6" max="6" width="12.8515625" style="401" customWidth="1"/>
    <col min="7" max="7" width="10.8515625" style="402" customWidth="1"/>
    <col min="8" max="8" width="12.7109375" style="344" bestFit="1" customWidth="1"/>
    <col min="9" max="10" width="12.421875" style="36" bestFit="1" customWidth="1"/>
    <col min="11" max="16384" width="9.140625" style="36" customWidth="1"/>
  </cols>
  <sheetData>
    <row r="1" spans="1:8" s="1" customFormat="1" ht="19.5">
      <c r="A1" s="411" t="s">
        <v>62</v>
      </c>
      <c r="B1" s="411"/>
      <c r="C1" s="411"/>
      <c r="D1" s="411"/>
      <c r="E1" s="411"/>
      <c r="F1" s="401"/>
      <c r="G1" s="402"/>
      <c r="H1" s="344"/>
    </row>
    <row r="2" spans="1:8" s="1" customFormat="1" ht="19.5">
      <c r="A2" s="412" t="s">
        <v>411</v>
      </c>
      <c r="B2" s="412"/>
      <c r="C2" s="412"/>
      <c r="D2" s="412"/>
      <c r="E2" s="412"/>
      <c r="F2" s="401"/>
      <c r="G2" s="402"/>
      <c r="H2" s="344"/>
    </row>
    <row r="3" spans="1:8" s="1" customFormat="1" ht="19.5">
      <c r="A3" s="413" t="s">
        <v>412</v>
      </c>
      <c r="B3" s="413"/>
      <c r="C3" s="413"/>
      <c r="D3" s="413"/>
      <c r="E3" s="413"/>
      <c r="F3" s="401"/>
      <c r="G3" s="402"/>
      <c r="H3" s="344"/>
    </row>
    <row r="4" spans="1:8" s="1" customFormat="1" ht="19.5">
      <c r="A4" s="3"/>
      <c r="B4" s="3"/>
      <c r="C4" s="3"/>
      <c r="D4" s="3"/>
      <c r="E4" s="3"/>
      <c r="F4" s="401"/>
      <c r="G4" s="402"/>
      <c r="H4" s="344"/>
    </row>
    <row r="5" spans="1:8" s="1" customFormat="1" ht="19.5">
      <c r="A5" s="409" t="s">
        <v>63</v>
      </c>
      <c r="B5" s="410"/>
      <c r="C5" s="4" t="s">
        <v>0</v>
      </c>
      <c r="D5" s="5" t="s">
        <v>64</v>
      </c>
      <c r="E5" s="5" t="s">
        <v>65</v>
      </c>
      <c r="F5" s="401"/>
      <c r="G5" s="402"/>
      <c r="H5" s="344"/>
    </row>
    <row r="6" spans="1:8" s="6" customFormat="1" ht="19.5">
      <c r="A6" s="7" t="s">
        <v>66</v>
      </c>
      <c r="B6" s="7"/>
      <c r="C6" s="8">
        <v>111201</v>
      </c>
      <c r="D6" s="9">
        <v>6469485.72</v>
      </c>
      <c r="E6" s="9"/>
      <c r="F6" s="403"/>
      <c r="G6" s="404"/>
      <c r="H6" s="10"/>
    </row>
    <row r="7" spans="1:8" s="6" customFormat="1" ht="19.5">
      <c r="A7" s="7" t="s">
        <v>67</v>
      </c>
      <c r="B7" s="11"/>
      <c r="C7" s="8">
        <v>111201</v>
      </c>
      <c r="D7" s="9">
        <v>3.71</v>
      </c>
      <c r="E7" s="9"/>
      <c r="F7" s="403"/>
      <c r="G7" s="404"/>
      <c r="H7" s="10"/>
    </row>
    <row r="8" spans="1:8" s="6" customFormat="1" ht="19.5">
      <c r="A8" s="7" t="s">
        <v>68</v>
      </c>
      <c r="B8" s="7"/>
      <c r="C8" s="8">
        <v>111201</v>
      </c>
      <c r="D8" s="12">
        <v>30929345.25</v>
      </c>
      <c r="E8" s="9"/>
      <c r="F8" s="403"/>
      <c r="G8" s="404"/>
      <c r="H8" s="10"/>
    </row>
    <row r="9" spans="1:8" s="6" customFormat="1" ht="19.5">
      <c r="A9" s="7" t="s">
        <v>69</v>
      </c>
      <c r="B9" s="11"/>
      <c r="C9" s="8">
        <v>111202</v>
      </c>
      <c r="D9" s="12">
        <v>1205625.29</v>
      </c>
      <c r="E9" s="9"/>
      <c r="F9" s="403"/>
      <c r="G9" s="404"/>
      <c r="H9" s="10"/>
    </row>
    <row r="10" spans="1:9" s="6" customFormat="1" ht="19.5">
      <c r="A10" s="7" t="s">
        <v>70</v>
      </c>
      <c r="B10" s="7"/>
      <c r="C10" s="8">
        <v>111202</v>
      </c>
      <c r="D10" s="12">
        <v>3366472.7</v>
      </c>
      <c r="E10" s="9"/>
      <c r="F10" s="403">
        <v>47584280.91</v>
      </c>
      <c r="G10" s="404"/>
      <c r="H10" s="345"/>
      <c r="I10" s="10"/>
    </row>
    <row r="11" spans="1:9" s="6" customFormat="1" ht="19.5">
      <c r="A11" s="7" t="s">
        <v>71</v>
      </c>
      <c r="B11" s="7"/>
      <c r="C11" s="8">
        <v>111202</v>
      </c>
      <c r="D11" s="12">
        <v>5613348.24</v>
      </c>
      <c r="E11" s="9"/>
      <c r="F11" s="403">
        <f>SUM(D6:D11)</f>
        <v>47584280.910000004</v>
      </c>
      <c r="G11" s="404"/>
      <c r="H11" s="10"/>
      <c r="I11" s="10"/>
    </row>
    <row r="12" spans="1:8" s="6" customFormat="1" ht="19.5">
      <c r="A12" s="14" t="s">
        <v>39</v>
      </c>
      <c r="B12" s="11"/>
      <c r="C12" s="15">
        <v>112002</v>
      </c>
      <c r="D12" s="9">
        <v>1356950.83</v>
      </c>
      <c r="E12" s="7"/>
      <c r="F12" s="403">
        <f>+F10-F11</f>
        <v>0</v>
      </c>
      <c r="G12" s="403"/>
      <c r="H12" s="10"/>
    </row>
    <row r="13" spans="1:8" s="6" customFormat="1" ht="19.5">
      <c r="A13" s="14" t="s">
        <v>4</v>
      </c>
      <c r="B13" s="11"/>
      <c r="C13" s="8">
        <v>113200</v>
      </c>
      <c r="D13" s="9">
        <v>11445</v>
      </c>
      <c r="E13" s="7"/>
      <c r="F13" s="403"/>
      <c r="G13" s="404"/>
      <c r="H13" s="10"/>
    </row>
    <row r="14" spans="1:9" s="6" customFormat="1" ht="19.5">
      <c r="A14" s="14" t="s">
        <v>42</v>
      </c>
      <c r="B14" s="11"/>
      <c r="C14" s="8">
        <v>113301</v>
      </c>
      <c r="D14" s="9">
        <v>41520</v>
      </c>
      <c r="E14" s="9"/>
      <c r="F14" s="403"/>
      <c r="G14" s="405"/>
      <c r="I14" s="10"/>
    </row>
    <row r="15" spans="1:8" s="6" customFormat="1" ht="19.5">
      <c r="A15" s="14" t="s">
        <v>44</v>
      </c>
      <c r="B15" s="11"/>
      <c r="C15" s="8">
        <v>113302</v>
      </c>
      <c r="D15" s="9">
        <v>37216.56</v>
      </c>
      <c r="E15" s="9"/>
      <c r="F15" s="403"/>
      <c r="G15" s="404"/>
      <c r="H15" s="10"/>
    </row>
    <row r="16" spans="1:8" s="6" customFormat="1" ht="19.5">
      <c r="A16" s="14" t="s">
        <v>1</v>
      </c>
      <c r="B16" s="11"/>
      <c r="C16" s="8">
        <v>113400</v>
      </c>
      <c r="D16" s="9">
        <v>183728</v>
      </c>
      <c r="E16" s="9"/>
      <c r="F16" s="403"/>
      <c r="G16" s="404"/>
      <c r="H16" s="10"/>
    </row>
    <row r="17" spans="1:8" s="6" customFormat="1" ht="19.5">
      <c r="A17" s="14" t="s">
        <v>9</v>
      </c>
      <c r="B17" s="11"/>
      <c r="C17" s="8">
        <v>113700</v>
      </c>
      <c r="D17" s="9">
        <v>459200</v>
      </c>
      <c r="E17" s="9"/>
      <c r="F17" s="403"/>
      <c r="G17" s="404"/>
      <c r="H17" s="10"/>
    </row>
    <row r="18" spans="1:8" s="6" customFormat="1" ht="19.5">
      <c r="A18" s="14" t="s">
        <v>10</v>
      </c>
      <c r="B18" s="11"/>
      <c r="C18" s="8">
        <v>190004</v>
      </c>
      <c r="D18" s="9">
        <v>11063</v>
      </c>
      <c r="E18" s="9"/>
      <c r="F18" s="403"/>
      <c r="G18" s="404"/>
      <c r="H18" s="10"/>
    </row>
    <row r="19" spans="1:10" s="6" customFormat="1" ht="19.5">
      <c r="A19" s="7" t="s">
        <v>12</v>
      </c>
      <c r="B19" s="7"/>
      <c r="C19" s="16" t="s">
        <v>55</v>
      </c>
      <c r="D19" s="9">
        <f>+F19+G19+H19</f>
        <v>1543700</v>
      </c>
      <c r="E19" s="9"/>
      <c r="F19" s="403"/>
      <c r="G19" s="404">
        <f>1369300+174400</f>
        <v>1543700</v>
      </c>
      <c r="H19" s="10"/>
      <c r="I19" s="17"/>
      <c r="J19" s="17"/>
    </row>
    <row r="20" spans="1:8" s="6" customFormat="1" ht="19.5">
      <c r="A20" s="7" t="s">
        <v>56</v>
      </c>
      <c r="B20" s="7"/>
      <c r="C20" s="15">
        <v>521000</v>
      </c>
      <c r="D20" s="9">
        <f>+F20+G20</f>
        <v>398800</v>
      </c>
      <c r="E20" s="9"/>
      <c r="F20" s="403">
        <v>398800</v>
      </c>
      <c r="G20" s="404"/>
      <c r="H20" s="10"/>
    </row>
    <row r="21" spans="1:8" s="6" customFormat="1" ht="19.5">
      <c r="A21" s="7" t="s">
        <v>57</v>
      </c>
      <c r="B21" s="7"/>
      <c r="C21" s="15">
        <v>522000</v>
      </c>
      <c r="D21" s="9">
        <f>+F21+G21</f>
        <v>1275982.02</v>
      </c>
      <c r="E21" s="9"/>
      <c r="F21" s="403">
        <v>1083382.02</v>
      </c>
      <c r="G21" s="404">
        <v>192600</v>
      </c>
      <c r="H21" s="10"/>
    </row>
    <row r="22" spans="1:8" s="6" customFormat="1" ht="19.5">
      <c r="A22" s="7" t="s">
        <v>13</v>
      </c>
      <c r="B22" s="7"/>
      <c r="C22" s="15">
        <v>531000</v>
      </c>
      <c r="D22" s="9">
        <f aca="true" t="shared" si="0" ref="D22:D28">+F22+G22+H22</f>
        <v>17400</v>
      </c>
      <c r="E22" s="9"/>
      <c r="F22" s="403">
        <v>17400</v>
      </c>
      <c r="G22" s="404"/>
      <c r="H22" s="10"/>
    </row>
    <row r="23" spans="1:8" s="6" customFormat="1" ht="19.5">
      <c r="A23" s="7" t="s">
        <v>14</v>
      </c>
      <c r="B23" s="7"/>
      <c r="C23" s="15">
        <v>532000</v>
      </c>
      <c r="D23" s="9">
        <f t="shared" si="0"/>
        <v>103774.5</v>
      </c>
      <c r="E23" s="9"/>
      <c r="F23" s="403">
        <v>103774.5</v>
      </c>
      <c r="G23" s="404"/>
      <c r="H23" s="10"/>
    </row>
    <row r="24" spans="1:8" s="6" customFormat="1" ht="19.5">
      <c r="A24" s="14" t="s">
        <v>15</v>
      </c>
      <c r="B24" s="11"/>
      <c r="C24" s="15">
        <v>533000</v>
      </c>
      <c r="D24" s="9">
        <f t="shared" si="0"/>
        <v>29798</v>
      </c>
      <c r="E24" s="9"/>
      <c r="F24" s="403">
        <v>29798</v>
      </c>
      <c r="G24" s="404"/>
      <c r="H24" s="10"/>
    </row>
    <row r="25" spans="1:8" s="6" customFormat="1" ht="19.5">
      <c r="A25" s="7" t="s">
        <v>16</v>
      </c>
      <c r="B25" s="7"/>
      <c r="C25" s="15">
        <v>534000</v>
      </c>
      <c r="D25" s="9">
        <v>173634.55</v>
      </c>
      <c r="E25" s="9"/>
      <c r="F25" s="403">
        <v>173634.16</v>
      </c>
      <c r="G25" s="404"/>
      <c r="H25" s="10"/>
    </row>
    <row r="26" spans="1:8" s="6" customFormat="1" ht="19.5" hidden="1">
      <c r="A26" s="7" t="s">
        <v>18</v>
      </c>
      <c r="B26" s="7"/>
      <c r="C26" s="15">
        <v>541000</v>
      </c>
      <c r="D26" s="9">
        <f t="shared" si="0"/>
        <v>0</v>
      </c>
      <c r="E26" s="9"/>
      <c r="F26" s="403">
        <v>0</v>
      </c>
      <c r="G26" s="404"/>
      <c r="H26" s="10"/>
    </row>
    <row r="27" spans="1:8" s="6" customFormat="1" ht="19.5" hidden="1">
      <c r="A27" s="7" t="s">
        <v>19</v>
      </c>
      <c r="B27" s="7"/>
      <c r="C27" s="15">
        <v>542000</v>
      </c>
      <c r="D27" s="9">
        <f t="shared" si="0"/>
        <v>0</v>
      </c>
      <c r="E27" s="9"/>
      <c r="F27" s="403">
        <v>0</v>
      </c>
      <c r="G27" s="404"/>
      <c r="H27" s="10"/>
    </row>
    <row r="28" spans="1:8" s="6" customFormat="1" ht="19.5" hidden="1">
      <c r="A28" s="7" t="s">
        <v>17</v>
      </c>
      <c r="B28" s="7"/>
      <c r="C28" s="15">
        <v>561000</v>
      </c>
      <c r="D28" s="9">
        <f t="shared" si="0"/>
        <v>0</v>
      </c>
      <c r="E28" s="9"/>
      <c r="F28" s="403"/>
      <c r="G28" s="404"/>
      <c r="H28" s="10"/>
    </row>
    <row r="29" spans="1:8" s="6" customFormat="1" ht="19.5">
      <c r="A29" s="14" t="s">
        <v>72</v>
      </c>
      <c r="B29" s="11"/>
      <c r="C29" s="15">
        <v>211000</v>
      </c>
      <c r="D29" s="9"/>
      <c r="E29" s="9">
        <f>+'หมายเหตุ 2-3'!F11</f>
        <v>1207300</v>
      </c>
      <c r="F29" s="403">
        <v>1207300</v>
      </c>
      <c r="G29" s="404">
        <f>+F29-E29</f>
        <v>0</v>
      </c>
      <c r="H29" s="346"/>
    </row>
    <row r="30" spans="1:9" s="6" customFormat="1" ht="19.5">
      <c r="A30" s="7" t="s">
        <v>386</v>
      </c>
      <c r="B30" s="11"/>
      <c r="C30" s="15">
        <v>215000</v>
      </c>
      <c r="D30" s="9"/>
      <c r="E30" s="19">
        <f>+'หมายเหตุ 2-3'!F21</f>
        <v>429001.49</v>
      </c>
      <c r="F30" s="403"/>
      <c r="G30" s="404"/>
      <c r="H30" s="347"/>
      <c r="I30" s="18"/>
    </row>
    <row r="31" spans="1:9" s="6" customFormat="1" ht="19.5">
      <c r="A31" s="14" t="s">
        <v>11</v>
      </c>
      <c r="B31" s="11"/>
      <c r="C31" s="15">
        <v>290001</v>
      </c>
      <c r="D31" s="20"/>
      <c r="E31" s="333">
        <f>+D18</f>
        <v>11063</v>
      </c>
      <c r="F31" s="403"/>
      <c r="G31" s="404"/>
      <c r="H31" s="347"/>
      <c r="I31" s="18"/>
    </row>
    <row r="32" spans="1:9" s="6" customFormat="1" ht="19.5">
      <c r="A32" s="7" t="s">
        <v>7</v>
      </c>
      <c r="B32" s="11"/>
      <c r="C32" s="15">
        <v>310000</v>
      </c>
      <c r="D32" s="9"/>
      <c r="E32" s="9">
        <v>25766345.26</v>
      </c>
      <c r="F32" s="403">
        <v>25308385.26</v>
      </c>
      <c r="G32" s="404">
        <f>+F32-E32</f>
        <v>-457960</v>
      </c>
      <c r="H32" s="346"/>
      <c r="I32" s="18"/>
    </row>
    <row r="33" spans="1:9" s="6" customFormat="1" ht="19.5">
      <c r="A33" s="7" t="s">
        <v>8</v>
      </c>
      <c r="B33" s="11"/>
      <c r="C33" s="15">
        <v>320000</v>
      </c>
      <c r="D33" s="9"/>
      <c r="E33" s="9">
        <v>16583640.02</v>
      </c>
      <c r="F33" s="403"/>
      <c r="G33" s="404"/>
      <c r="H33" s="346"/>
      <c r="I33" s="18"/>
    </row>
    <row r="34" spans="1:9" s="6" customFormat="1" ht="19.5">
      <c r="A34" s="7" t="s">
        <v>73</v>
      </c>
      <c r="B34" s="11"/>
      <c r="C34" s="15"/>
      <c r="D34" s="9"/>
      <c r="E34" s="19">
        <f>+'หมายเหตุ 1 รายรับจริง'!G133</f>
        <v>9231143.6</v>
      </c>
      <c r="F34" s="403">
        <f>1333982.21+7892861.39+4300</f>
        <v>9231143.6</v>
      </c>
      <c r="G34" s="406">
        <f>+F34-E34</f>
        <v>0</v>
      </c>
      <c r="H34" s="346"/>
      <c r="I34" s="18"/>
    </row>
    <row r="35" spans="1:9" s="6" customFormat="1" ht="19.5">
      <c r="A35" s="21"/>
      <c r="B35" s="22"/>
      <c r="C35" s="23"/>
      <c r="D35" s="20"/>
      <c r="E35" s="20"/>
      <c r="F35" s="403"/>
      <c r="G35" s="404"/>
      <c r="H35" s="348"/>
      <c r="I35" s="18"/>
    </row>
    <row r="36" spans="1:9" s="6" customFormat="1" ht="19.5">
      <c r="A36" s="24"/>
      <c r="B36" s="25"/>
      <c r="C36" s="26"/>
      <c r="D36" s="27">
        <f>SUM(D6:D35)</f>
        <v>53228493.370000005</v>
      </c>
      <c r="E36" s="27">
        <f>SUM(E6:E35)</f>
        <v>53228493.37</v>
      </c>
      <c r="F36" s="401"/>
      <c r="G36" s="402"/>
      <c r="H36" s="344"/>
      <c r="I36" s="17"/>
    </row>
    <row r="37" spans="1:8" s="1" customFormat="1" ht="19.5">
      <c r="A37" s="28"/>
      <c r="B37" s="28"/>
      <c r="C37" s="28"/>
      <c r="D37" s="29"/>
      <c r="E37" s="408">
        <f>+D36-E36</f>
        <v>0</v>
      </c>
      <c r="F37" s="401"/>
      <c r="G37" s="402"/>
      <c r="H37" s="344"/>
    </row>
    <row r="38" spans="1:8" s="1" customFormat="1" ht="19.5">
      <c r="A38" s="28"/>
      <c r="B38" s="28"/>
      <c r="C38" s="28"/>
      <c r="D38" s="29"/>
      <c r="E38" s="30"/>
      <c r="F38" s="401"/>
      <c r="G38" s="402"/>
      <c r="H38" s="344"/>
    </row>
    <row r="39" spans="1:8" s="1" customFormat="1" ht="19.5">
      <c r="A39" s="31"/>
      <c r="B39" s="31"/>
      <c r="C39" s="31"/>
      <c r="D39" s="32"/>
      <c r="E39" s="32"/>
      <c r="F39" s="402"/>
      <c r="G39" s="402"/>
      <c r="H39" s="344"/>
    </row>
    <row r="40" spans="1:8" s="1" customFormat="1" ht="19.5">
      <c r="A40" s="31" t="s">
        <v>74</v>
      </c>
      <c r="B40" s="31"/>
      <c r="C40" s="31"/>
      <c r="D40" s="32"/>
      <c r="E40" s="32"/>
      <c r="F40" s="402"/>
      <c r="G40" s="402"/>
      <c r="H40" s="344"/>
    </row>
    <row r="41" spans="1:8" s="1" customFormat="1" ht="19.5">
      <c r="A41" s="31" t="s">
        <v>75</v>
      </c>
      <c r="B41" s="31"/>
      <c r="C41" s="31"/>
      <c r="D41" s="32"/>
      <c r="E41" s="32"/>
      <c r="F41" s="402"/>
      <c r="G41" s="402"/>
      <c r="H41" s="344"/>
    </row>
    <row r="42" spans="1:8" s="1" customFormat="1" ht="21">
      <c r="A42" s="31" t="s">
        <v>76</v>
      </c>
      <c r="B42" s="33"/>
      <c r="C42" s="34"/>
      <c r="D42" s="35"/>
      <c r="E42" s="35"/>
      <c r="F42" s="402"/>
      <c r="G42" s="402"/>
      <c r="H42" s="344"/>
    </row>
    <row r="43" spans="1:8" ht="21">
      <c r="A43" s="33"/>
      <c r="B43" s="33"/>
      <c r="C43" s="34"/>
      <c r="F43" s="402"/>
      <c r="G43" s="407"/>
      <c r="H43" s="36"/>
    </row>
    <row r="44" spans="1:8" ht="21">
      <c r="A44" s="33"/>
      <c r="B44" s="33"/>
      <c r="C44" s="34"/>
      <c r="F44" s="402"/>
      <c r="G44" s="407"/>
      <c r="H44" s="36"/>
    </row>
    <row r="45" spans="2:8" ht="21">
      <c r="B45" s="33"/>
      <c r="C45" s="37"/>
      <c r="D45" s="38"/>
      <c r="E45" s="39"/>
      <c r="G45" s="407"/>
      <c r="H45" s="36"/>
    </row>
    <row r="46" spans="2:8" ht="21">
      <c r="B46" s="33"/>
      <c r="C46" s="37"/>
      <c r="D46" s="38"/>
      <c r="E46" s="39"/>
      <c r="G46" s="407"/>
      <c r="H46" s="36"/>
    </row>
    <row r="47" spans="2:8" ht="21">
      <c r="B47" s="33"/>
      <c r="C47" s="37"/>
      <c r="D47" s="38"/>
      <c r="E47" s="39"/>
      <c r="G47" s="407"/>
      <c r="H47" s="36"/>
    </row>
    <row r="48" spans="7:8" ht="18.75">
      <c r="G48" s="407"/>
      <c r="H48" s="36"/>
    </row>
    <row r="50" spans="1:8" ht="21">
      <c r="A50" s="33"/>
      <c r="B50" s="33"/>
      <c r="C50" s="33"/>
      <c r="G50" s="407"/>
      <c r="H50" s="36"/>
    </row>
    <row r="51" spans="1:8" ht="21">
      <c r="A51" s="37"/>
      <c r="B51" s="37"/>
      <c r="C51" s="37"/>
      <c r="G51" s="407"/>
      <c r="H51" s="36"/>
    </row>
    <row r="52" spans="1:8" ht="21">
      <c r="A52" s="37"/>
      <c r="B52" s="37"/>
      <c r="C52" s="37"/>
      <c r="G52" s="407"/>
      <c r="H52" s="36"/>
    </row>
    <row r="53" spans="1:8" ht="21">
      <c r="A53" s="37"/>
      <c r="B53" s="37"/>
      <c r="C53" s="37"/>
      <c r="G53" s="407"/>
      <c r="H53" s="36"/>
    </row>
    <row r="54" spans="1:8" ht="21">
      <c r="A54" s="37"/>
      <c r="B54" s="37"/>
      <c r="C54" s="37"/>
      <c r="G54" s="407"/>
      <c r="H54" s="36"/>
    </row>
    <row r="55" spans="1:8" ht="21">
      <c r="A55" s="37"/>
      <c r="B55" s="37"/>
      <c r="C55" s="37"/>
      <c r="G55" s="407"/>
      <c r="H55" s="36"/>
    </row>
    <row r="56" spans="1:8" ht="21">
      <c r="A56" s="37"/>
      <c r="B56" s="37"/>
      <c r="C56" s="37"/>
      <c r="G56" s="407"/>
      <c r="H56" s="36"/>
    </row>
    <row r="57" spans="1:8" ht="21">
      <c r="A57" s="37"/>
      <c r="B57" s="37"/>
      <c r="C57" s="37"/>
      <c r="G57" s="407"/>
      <c r="H57" s="36"/>
    </row>
  </sheetData>
  <sheetProtection/>
  <mergeCells count="4">
    <mergeCell ref="A5:B5"/>
    <mergeCell ref="A1:E1"/>
    <mergeCell ref="A2:E2"/>
    <mergeCell ref="A3:E3"/>
  </mergeCells>
  <printOptions/>
  <pageMargins left="0.78" right="0.15748031496062992" top="0.61" bottom="0.2" header="0.1574803149606299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J151"/>
  <sheetViews>
    <sheetView zoomScalePageLayoutView="0" workbookViewId="0" topLeftCell="A1">
      <pane ySplit="6" topLeftCell="A7" activePane="bottomLeft" state="frozen"/>
      <selection pane="topLeft" activeCell="H39" sqref="H39"/>
      <selection pane="bottomLeft" activeCell="G137" sqref="G137"/>
    </sheetView>
  </sheetViews>
  <sheetFormatPr defaultColWidth="9.140625" defaultRowHeight="12.75"/>
  <cols>
    <col min="1" max="1" width="4.00390625" style="50" customWidth="1"/>
    <col min="2" max="2" width="56.421875" style="50" customWidth="1"/>
    <col min="3" max="3" width="13.140625" style="159" customWidth="1"/>
    <col min="4" max="4" width="13.7109375" style="50" bestFit="1" customWidth="1"/>
    <col min="5" max="5" width="12.8515625" style="50" customWidth="1"/>
    <col min="6" max="6" width="12.8515625" style="50" hidden="1" customWidth="1"/>
    <col min="7" max="7" width="12.7109375" style="50" bestFit="1" customWidth="1"/>
    <col min="8" max="8" width="14.140625" style="42" bestFit="1" customWidth="1"/>
    <col min="9" max="9" width="10.00390625" style="50" bestFit="1" customWidth="1"/>
    <col min="10" max="16384" width="9.140625" style="50" customWidth="1"/>
  </cols>
  <sheetData>
    <row r="2" spans="1:10" s="1" customFormat="1" ht="19.5">
      <c r="A2" s="411" t="s">
        <v>62</v>
      </c>
      <c r="B2" s="411"/>
      <c r="C2" s="411"/>
      <c r="D2" s="411"/>
      <c r="E2" s="411"/>
      <c r="F2" s="411"/>
      <c r="G2" s="411"/>
      <c r="H2" s="40"/>
      <c r="I2" s="41"/>
      <c r="J2" s="42"/>
    </row>
    <row r="3" spans="1:10" s="1" customFormat="1" ht="19.5">
      <c r="A3" s="412" t="s">
        <v>402</v>
      </c>
      <c r="B3" s="412"/>
      <c r="C3" s="412"/>
      <c r="D3" s="412"/>
      <c r="E3" s="412"/>
      <c r="F3" s="412"/>
      <c r="G3" s="412"/>
      <c r="H3" s="43"/>
      <c r="I3" s="44"/>
      <c r="J3" s="42"/>
    </row>
    <row r="4" spans="1:10" s="1" customFormat="1" ht="19.5">
      <c r="A4" s="413" t="str">
        <f>+งบทดลอง!A3</f>
        <v>ณ  วันที่  30  พฤศจิกายน  2558</v>
      </c>
      <c r="B4" s="413"/>
      <c r="C4" s="413"/>
      <c r="D4" s="413"/>
      <c r="E4" s="413"/>
      <c r="F4" s="413"/>
      <c r="G4" s="413"/>
      <c r="H4" s="45"/>
      <c r="I4" s="46"/>
      <c r="J4" s="42"/>
    </row>
    <row r="6" spans="1:7" ht="23.25" customHeight="1">
      <c r="A6" s="414" t="s">
        <v>63</v>
      </c>
      <c r="B6" s="415"/>
      <c r="C6" s="47" t="s">
        <v>0</v>
      </c>
      <c r="D6" s="48" t="s">
        <v>77</v>
      </c>
      <c r="E6" s="48" t="s">
        <v>78</v>
      </c>
      <c r="F6" s="48" t="s">
        <v>79</v>
      </c>
      <c r="G6" s="49" t="s">
        <v>385</v>
      </c>
    </row>
    <row r="7" spans="1:7" ht="21">
      <c r="A7" s="51"/>
      <c r="B7" s="52"/>
      <c r="C7" s="53"/>
      <c r="D7" s="54"/>
      <c r="E7" s="54"/>
      <c r="F7" s="54"/>
      <c r="G7" s="55"/>
    </row>
    <row r="8" spans="1:7" ht="21">
      <c r="A8" s="56" t="s">
        <v>80</v>
      </c>
      <c r="B8" s="57"/>
      <c r="C8" s="58">
        <v>410000</v>
      </c>
      <c r="D8" s="59"/>
      <c r="E8" s="59"/>
      <c r="F8" s="59"/>
      <c r="G8" s="59"/>
    </row>
    <row r="9" spans="1:7" ht="21">
      <c r="A9" s="56" t="s">
        <v>81</v>
      </c>
      <c r="B9" s="57"/>
      <c r="C9" s="58">
        <v>411000</v>
      </c>
      <c r="D9" s="59"/>
      <c r="E9" s="59"/>
      <c r="F9" s="59"/>
      <c r="G9" s="59"/>
    </row>
    <row r="10" spans="1:7" ht="21">
      <c r="A10" s="60">
        <v>1</v>
      </c>
      <c r="B10" s="61" t="s">
        <v>20</v>
      </c>
      <c r="C10" s="62">
        <v>411001</v>
      </c>
      <c r="D10" s="63">
        <v>140000</v>
      </c>
      <c r="E10" s="63">
        <v>16250</v>
      </c>
      <c r="F10" s="63"/>
      <c r="G10" s="63">
        <v>16250</v>
      </c>
    </row>
    <row r="11" spans="1:9" ht="21">
      <c r="A11" s="64">
        <v>2</v>
      </c>
      <c r="B11" s="65" t="s">
        <v>21</v>
      </c>
      <c r="C11" s="66">
        <v>411002</v>
      </c>
      <c r="D11" s="67">
        <v>30000</v>
      </c>
      <c r="E11" s="67">
        <v>803.04</v>
      </c>
      <c r="F11" s="67"/>
      <c r="G11" s="67">
        <f>501.18+803.04</f>
        <v>1304.22</v>
      </c>
      <c r="I11" s="68"/>
    </row>
    <row r="12" spans="1:7" ht="21">
      <c r="A12" s="64">
        <v>3</v>
      </c>
      <c r="B12" s="65" t="s">
        <v>22</v>
      </c>
      <c r="C12" s="66">
        <v>411002</v>
      </c>
      <c r="D12" s="67">
        <v>70000</v>
      </c>
      <c r="E12" s="67">
        <v>0</v>
      </c>
      <c r="F12" s="67"/>
      <c r="G12" s="67">
        <v>0</v>
      </c>
    </row>
    <row r="13" spans="1:7" ht="21">
      <c r="A13" s="64">
        <v>4</v>
      </c>
      <c r="B13" s="65" t="s">
        <v>82</v>
      </c>
      <c r="C13" s="66"/>
      <c r="D13" s="67">
        <v>0</v>
      </c>
      <c r="E13" s="67">
        <v>0</v>
      </c>
      <c r="F13" s="67"/>
      <c r="G13" s="67">
        <f>+E13</f>
        <v>0</v>
      </c>
    </row>
    <row r="14" spans="1:7" ht="21">
      <c r="A14" s="60">
        <v>5</v>
      </c>
      <c r="B14" s="69" t="s">
        <v>83</v>
      </c>
      <c r="C14" s="70"/>
      <c r="D14" s="71">
        <v>0</v>
      </c>
      <c r="E14" s="71">
        <v>0</v>
      </c>
      <c r="F14" s="71"/>
      <c r="G14" s="63">
        <f>+E14</f>
        <v>0</v>
      </c>
    </row>
    <row r="15" spans="1:7" ht="21">
      <c r="A15" s="60">
        <v>6</v>
      </c>
      <c r="B15" s="72" t="s">
        <v>84</v>
      </c>
      <c r="C15" s="73"/>
      <c r="D15" s="71">
        <v>0</v>
      </c>
      <c r="E15" s="71">
        <v>0</v>
      </c>
      <c r="F15" s="74"/>
      <c r="G15" s="75">
        <f>+E15</f>
        <v>0</v>
      </c>
    </row>
    <row r="16" spans="1:7" ht="21">
      <c r="A16" s="416" t="s">
        <v>85</v>
      </c>
      <c r="B16" s="417"/>
      <c r="C16" s="76"/>
      <c r="D16" s="77"/>
      <c r="E16" s="77">
        <f>SUM(E10:E15)</f>
        <v>17053.04</v>
      </c>
      <c r="F16" s="77">
        <f>SUM(F10:F15)</f>
        <v>0</v>
      </c>
      <c r="G16" s="78"/>
    </row>
    <row r="17" spans="1:8" s="81" customFormat="1" ht="21">
      <c r="A17" s="416" t="s">
        <v>319</v>
      </c>
      <c r="B17" s="417"/>
      <c r="C17" s="79"/>
      <c r="D17" s="77">
        <f>SUM(D10:D16)</f>
        <v>240000</v>
      </c>
      <c r="E17" s="77"/>
      <c r="F17" s="77"/>
      <c r="G17" s="78">
        <f>SUM(G10:G15)</f>
        <v>17554.22</v>
      </c>
      <c r="H17" s="80"/>
    </row>
    <row r="18" spans="1:8" s="81" customFormat="1" ht="21">
      <c r="A18" s="82"/>
      <c r="B18" s="83"/>
      <c r="C18" s="84"/>
      <c r="D18" s="85"/>
      <c r="E18" s="85"/>
      <c r="F18" s="85"/>
      <c r="G18" s="86"/>
      <c r="H18" s="80"/>
    </row>
    <row r="19" spans="1:7" ht="21">
      <c r="A19" s="56" t="s">
        <v>86</v>
      </c>
      <c r="B19" s="57"/>
      <c r="C19" s="58">
        <v>412000</v>
      </c>
      <c r="D19" s="85"/>
      <c r="E19" s="85"/>
      <c r="F19" s="85"/>
      <c r="G19" s="86"/>
    </row>
    <row r="20" spans="1:7" ht="21">
      <c r="A20" s="87">
        <v>1</v>
      </c>
      <c r="B20" s="69" t="s">
        <v>87</v>
      </c>
      <c r="C20" s="70">
        <v>412101</v>
      </c>
      <c r="D20" s="71">
        <v>2000</v>
      </c>
      <c r="E20" s="71">
        <v>0</v>
      </c>
      <c r="F20" s="71"/>
      <c r="G20" s="71">
        <f aca="true" t="shared" si="0" ref="G20:G29">+E20</f>
        <v>0</v>
      </c>
    </row>
    <row r="21" spans="1:7" ht="21">
      <c r="A21" s="87">
        <v>2</v>
      </c>
      <c r="B21" s="69" t="s">
        <v>88</v>
      </c>
      <c r="C21" s="70">
        <v>412102</v>
      </c>
      <c r="D21" s="71">
        <v>1000</v>
      </c>
      <c r="E21" s="71">
        <v>0</v>
      </c>
      <c r="F21" s="71"/>
      <c r="G21" s="71">
        <f t="shared" si="0"/>
        <v>0</v>
      </c>
    </row>
    <row r="22" spans="1:7" ht="21">
      <c r="A22" s="88">
        <v>3</v>
      </c>
      <c r="B22" s="89" t="s">
        <v>89</v>
      </c>
      <c r="C22" s="90">
        <v>412103</v>
      </c>
      <c r="D22" s="91">
        <v>0</v>
      </c>
      <c r="E22" s="91">
        <v>0</v>
      </c>
      <c r="F22" s="91"/>
      <c r="G22" s="91">
        <f t="shared" si="0"/>
        <v>0</v>
      </c>
    </row>
    <row r="23" spans="1:7" ht="21">
      <c r="A23" s="87">
        <v>4</v>
      </c>
      <c r="B23" s="89" t="s">
        <v>23</v>
      </c>
      <c r="C23" s="90">
        <v>412104</v>
      </c>
      <c r="D23" s="91">
        <v>1000</v>
      </c>
      <c r="E23" s="91">
        <v>0</v>
      </c>
      <c r="F23" s="91"/>
      <c r="G23" s="91">
        <v>0</v>
      </c>
    </row>
    <row r="24" spans="1:7" ht="21">
      <c r="A24" s="87">
        <v>5</v>
      </c>
      <c r="B24" s="89" t="s">
        <v>90</v>
      </c>
      <c r="C24" s="90">
        <v>412106</v>
      </c>
      <c r="D24" s="91">
        <v>10000</v>
      </c>
      <c r="E24" s="91">
        <v>0</v>
      </c>
      <c r="F24" s="91"/>
      <c r="G24" s="91">
        <f t="shared" si="0"/>
        <v>0</v>
      </c>
    </row>
    <row r="25" spans="1:7" ht="21">
      <c r="A25" s="87">
        <v>6</v>
      </c>
      <c r="B25" s="89" t="s">
        <v>24</v>
      </c>
      <c r="C25" s="90">
        <v>412107</v>
      </c>
      <c r="D25" s="91">
        <v>5000</v>
      </c>
      <c r="E25" s="91">
        <v>9760</v>
      </c>
      <c r="F25" s="91"/>
      <c r="G25" s="91">
        <f>8820+9760</f>
        <v>18580</v>
      </c>
    </row>
    <row r="26" spans="1:7" ht="21">
      <c r="A26" s="88">
        <v>7</v>
      </c>
      <c r="B26" s="89" t="s">
        <v>91</v>
      </c>
      <c r="C26" s="90">
        <v>412110</v>
      </c>
      <c r="D26" s="91">
        <v>1000</v>
      </c>
      <c r="E26" s="91">
        <v>0</v>
      </c>
      <c r="F26" s="91"/>
      <c r="G26" s="91">
        <f t="shared" si="0"/>
        <v>0</v>
      </c>
    </row>
    <row r="27" spans="1:7" ht="21">
      <c r="A27" s="87">
        <v>8</v>
      </c>
      <c r="B27" s="89" t="s">
        <v>92</v>
      </c>
      <c r="C27" s="90">
        <v>412111</v>
      </c>
      <c r="D27" s="91">
        <v>1000</v>
      </c>
      <c r="E27" s="91">
        <v>20</v>
      </c>
      <c r="F27" s="91"/>
      <c r="G27" s="91">
        <f>10+20</f>
        <v>30</v>
      </c>
    </row>
    <row r="28" spans="1:7" ht="21">
      <c r="A28" s="87">
        <v>9</v>
      </c>
      <c r="B28" s="89" t="s">
        <v>93</v>
      </c>
      <c r="C28" s="90">
        <v>412112</v>
      </c>
      <c r="D28" s="91">
        <v>1000</v>
      </c>
      <c r="E28" s="91">
        <v>0</v>
      </c>
      <c r="F28" s="91"/>
      <c r="G28" s="91">
        <f t="shared" si="0"/>
        <v>0</v>
      </c>
    </row>
    <row r="29" spans="1:7" ht="21">
      <c r="A29" s="87">
        <v>10</v>
      </c>
      <c r="B29" s="89" t="s">
        <v>94</v>
      </c>
      <c r="C29" s="90">
        <v>412115</v>
      </c>
      <c r="D29" s="91">
        <v>0</v>
      </c>
      <c r="E29" s="91">
        <v>0</v>
      </c>
      <c r="F29" s="91"/>
      <c r="G29" s="91">
        <f t="shared" si="0"/>
        <v>0</v>
      </c>
    </row>
    <row r="30" spans="1:7" ht="21">
      <c r="A30" s="88">
        <v>11</v>
      </c>
      <c r="B30" s="92" t="s">
        <v>26</v>
      </c>
      <c r="C30" s="90">
        <v>412210</v>
      </c>
      <c r="D30" s="91">
        <v>50000</v>
      </c>
      <c r="E30" s="91">
        <v>4300</v>
      </c>
      <c r="F30" s="91"/>
      <c r="G30" s="91">
        <v>4300</v>
      </c>
    </row>
    <row r="31" spans="1:7" ht="21">
      <c r="A31" s="87">
        <v>12</v>
      </c>
      <c r="B31" s="92" t="s">
        <v>25</v>
      </c>
      <c r="C31" s="90">
        <v>412202</v>
      </c>
      <c r="D31" s="91">
        <v>30000</v>
      </c>
      <c r="E31" s="91">
        <v>8350</v>
      </c>
      <c r="F31" s="91"/>
      <c r="G31" s="91">
        <v>8350</v>
      </c>
    </row>
    <row r="32" spans="1:7" ht="21">
      <c r="A32" s="87">
        <v>13</v>
      </c>
      <c r="B32" s="93" t="s">
        <v>52</v>
      </c>
      <c r="C32" s="90">
        <v>412128</v>
      </c>
      <c r="D32" s="91">
        <v>1000</v>
      </c>
      <c r="E32" s="91">
        <v>50</v>
      </c>
      <c r="F32" s="91"/>
      <c r="G32" s="91">
        <f>100+50</f>
        <v>150</v>
      </c>
    </row>
    <row r="33" spans="1:7" ht="21">
      <c r="A33" s="87">
        <v>14</v>
      </c>
      <c r="B33" s="93" t="s">
        <v>95</v>
      </c>
      <c r="C33" s="90">
        <v>412129</v>
      </c>
      <c r="D33" s="91">
        <v>20000</v>
      </c>
      <c r="E33" s="91">
        <v>0</v>
      </c>
      <c r="F33" s="91"/>
      <c r="G33" s="91">
        <v>0</v>
      </c>
    </row>
    <row r="34" spans="1:7" ht="21">
      <c r="A34" s="87">
        <v>15</v>
      </c>
      <c r="B34" s="93" t="s">
        <v>384</v>
      </c>
      <c r="C34" s="90">
        <v>412303</v>
      </c>
      <c r="D34" s="91">
        <v>0</v>
      </c>
      <c r="E34" s="91">
        <v>0</v>
      </c>
      <c r="F34" s="91"/>
      <c r="G34" s="91">
        <v>5000</v>
      </c>
    </row>
    <row r="35" spans="1:7" ht="21">
      <c r="A35" s="87">
        <v>16</v>
      </c>
      <c r="B35" s="93" t="s">
        <v>96</v>
      </c>
      <c r="C35" s="94">
        <v>412304</v>
      </c>
      <c r="D35" s="91">
        <v>5000</v>
      </c>
      <c r="E35" s="91">
        <v>0</v>
      </c>
      <c r="F35" s="91"/>
      <c r="G35" s="91">
        <v>0</v>
      </c>
    </row>
    <row r="36" spans="1:7" ht="21">
      <c r="A36" s="87"/>
      <c r="B36" s="93" t="s">
        <v>97</v>
      </c>
      <c r="C36" s="94"/>
      <c r="D36" s="91"/>
      <c r="E36" s="91">
        <v>0</v>
      </c>
      <c r="F36" s="91"/>
      <c r="G36" s="91">
        <v>0</v>
      </c>
    </row>
    <row r="37" spans="1:7" ht="21">
      <c r="A37" s="87">
        <v>17</v>
      </c>
      <c r="B37" s="93" t="s">
        <v>98</v>
      </c>
      <c r="C37" s="94">
        <v>412305</v>
      </c>
      <c r="D37" s="91">
        <v>5000</v>
      </c>
      <c r="E37" s="91">
        <v>0</v>
      </c>
      <c r="F37" s="91"/>
      <c r="G37" s="91">
        <v>0</v>
      </c>
    </row>
    <row r="38" spans="1:7" ht="21">
      <c r="A38" s="87">
        <v>18</v>
      </c>
      <c r="B38" s="93" t="s">
        <v>99</v>
      </c>
      <c r="C38" s="94">
        <v>412306</v>
      </c>
      <c r="D38" s="91">
        <v>1000</v>
      </c>
      <c r="E38" s="91">
        <v>0</v>
      </c>
      <c r="F38" s="91"/>
      <c r="G38" s="91">
        <v>0</v>
      </c>
    </row>
    <row r="39" spans="1:7" ht="21">
      <c r="A39" s="87">
        <v>19</v>
      </c>
      <c r="B39" s="93" t="s">
        <v>27</v>
      </c>
      <c r="C39" s="94">
        <v>412307</v>
      </c>
      <c r="D39" s="91">
        <v>1000</v>
      </c>
      <c r="E39" s="91">
        <v>0</v>
      </c>
      <c r="F39" s="91"/>
      <c r="G39" s="91">
        <v>20</v>
      </c>
    </row>
    <row r="40" spans="1:7" ht="21">
      <c r="A40" s="87">
        <v>20</v>
      </c>
      <c r="B40" s="93" t="s">
        <v>100</v>
      </c>
      <c r="C40" s="94">
        <v>412308</v>
      </c>
      <c r="D40" s="91">
        <v>1000</v>
      </c>
      <c r="E40" s="91">
        <v>0</v>
      </c>
      <c r="F40" s="91"/>
      <c r="G40" s="91">
        <v>0</v>
      </c>
    </row>
    <row r="41" spans="1:7" ht="21">
      <c r="A41" s="87">
        <v>21</v>
      </c>
      <c r="B41" s="93" t="s">
        <v>101</v>
      </c>
      <c r="C41" s="94"/>
      <c r="D41" s="91">
        <v>0</v>
      </c>
      <c r="E41" s="91">
        <v>0</v>
      </c>
      <c r="F41" s="91"/>
      <c r="G41" s="91">
        <v>0</v>
      </c>
    </row>
    <row r="42" spans="1:7" ht="21">
      <c r="A42" s="334">
        <v>22</v>
      </c>
      <c r="B42" s="335" t="s">
        <v>102</v>
      </c>
      <c r="C42" s="96"/>
      <c r="D42" s="74">
        <v>1000</v>
      </c>
      <c r="E42" s="336">
        <v>500</v>
      </c>
      <c r="F42" s="74"/>
      <c r="G42" s="74">
        <v>500</v>
      </c>
    </row>
    <row r="43" spans="1:7" ht="18.75" customHeight="1">
      <c r="A43" s="337"/>
      <c r="B43" s="338"/>
      <c r="C43" s="339"/>
      <c r="D43" s="97"/>
      <c r="E43" s="97"/>
      <c r="F43" s="97"/>
      <c r="G43" s="97"/>
    </row>
    <row r="44" spans="1:7" ht="21">
      <c r="A44" s="416" t="s">
        <v>85</v>
      </c>
      <c r="B44" s="417"/>
      <c r="C44" s="76"/>
      <c r="D44" s="77"/>
      <c r="E44" s="77">
        <f>SUM(E20:E42)</f>
        <v>22980</v>
      </c>
      <c r="F44" s="77">
        <f>SUM(F20:F42)</f>
        <v>0</v>
      </c>
      <c r="G44" s="78"/>
    </row>
    <row r="45" spans="1:8" s="81" customFormat="1" ht="21">
      <c r="A45" s="416" t="s">
        <v>319</v>
      </c>
      <c r="B45" s="417"/>
      <c r="C45" s="79"/>
      <c r="D45" s="77">
        <f>SUM(D20:D44)</f>
        <v>137000</v>
      </c>
      <c r="E45" s="77"/>
      <c r="F45" s="77"/>
      <c r="G45" s="78">
        <f>SUM(G20:G42)</f>
        <v>36930</v>
      </c>
      <c r="H45" s="80"/>
    </row>
    <row r="46" spans="1:8" s="81" customFormat="1" ht="12.75" customHeight="1">
      <c r="A46" s="98"/>
      <c r="B46" s="83"/>
      <c r="C46" s="84"/>
      <c r="D46" s="99"/>
      <c r="E46" s="85"/>
      <c r="F46" s="85"/>
      <c r="G46" s="86"/>
      <c r="H46" s="80"/>
    </row>
    <row r="47" spans="1:7" ht="21">
      <c r="A47" s="56" t="s">
        <v>103</v>
      </c>
      <c r="B47" s="57"/>
      <c r="C47" s="58">
        <v>413000</v>
      </c>
      <c r="D47" s="85"/>
      <c r="E47" s="85"/>
      <c r="F47" s="85"/>
      <c r="G47" s="86"/>
    </row>
    <row r="48" spans="1:7" ht="21">
      <c r="A48" s="88">
        <v>1</v>
      </c>
      <c r="B48" s="89" t="s">
        <v>104</v>
      </c>
      <c r="C48" s="90">
        <v>413002</v>
      </c>
      <c r="D48" s="91">
        <v>1000</v>
      </c>
      <c r="E48" s="91">
        <v>0</v>
      </c>
      <c r="F48" s="91"/>
      <c r="G48" s="91">
        <f aca="true" t="shared" si="1" ref="G48:G54">+E48</f>
        <v>0</v>
      </c>
    </row>
    <row r="49" spans="1:7" ht="21">
      <c r="A49" s="88">
        <v>2</v>
      </c>
      <c r="B49" s="89" t="s">
        <v>105</v>
      </c>
      <c r="C49" s="90"/>
      <c r="D49" s="100">
        <v>0</v>
      </c>
      <c r="E49" s="91">
        <v>0</v>
      </c>
      <c r="F49" s="91"/>
      <c r="G49" s="91">
        <f t="shared" si="1"/>
        <v>0</v>
      </c>
    </row>
    <row r="50" spans="1:7" ht="21">
      <c r="A50" s="88">
        <v>3</v>
      </c>
      <c r="B50" s="92" t="s">
        <v>106</v>
      </c>
      <c r="C50" s="101"/>
      <c r="D50" s="100">
        <v>0</v>
      </c>
      <c r="E50" s="91">
        <v>0</v>
      </c>
      <c r="F50" s="91"/>
      <c r="G50" s="91">
        <f t="shared" si="1"/>
        <v>0</v>
      </c>
    </row>
    <row r="51" spans="1:7" ht="21">
      <c r="A51" s="88">
        <v>4</v>
      </c>
      <c r="B51" s="92" t="s">
        <v>107</v>
      </c>
      <c r="C51" s="101"/>
      <c r="D51" s="100">
        <v>0</v>
      </c>
      <c r="E51" s="91">
        <v>0</v>
      </c>
      <c r="F51" s="91"/>
      <c r="G51" s="91">
        <f t="shared" si="1"/>
        <v>0</v>
      </c>
    </row>
    <row r="52" spans="1:7" ht="21">
      <c r="A52" s="88">
        <v>5</v>
      </c>
      <c r="B52" s="92" t="s">
        <v>108</v>
      </c>
      <c r="C52" s="101"/>
      <c r="D52" s="100">
        <v>0</v>
      </c>
      <c r="E52" s="91">
        <v>0</v>
      </c>
      <c r="F52" s="91"/>
      <c r="G52" s="91">
        <f t="shared" si="1"/>
        <v>0</v>
      </c>
    </row>
    <row r="53" spans="1:7" ht="21">
      <c r="A53" s="88">
        <v>6</v>
      </c>
      <c r="B53" s="92" t="s">
        <v>109</v>
      </c>
      <c r="C53" s="101">
        <v>413003</v>
      </c>
      <c r="D53" s="100">
        <v>440000</v>
      </c>
      <c r="E53" s="91">
        <v>107043.61</v>
      </c>
      <c r="F53" s="91"/>
      <c r="G53" s="91">
        <v>107043.61</v>
      </c>
    </row>
    <row r="54" spans="1:7" ht="21">
      <c r="A54" s="102">
        <v>7</v>
      </c>
      <c r="B54" s="95" t="s">
        <v>110</v>
      </c>
      <c r="C54" s="103"/>
      <c r="D54" s="104">
        <v>0</v>
      </c>
      <c r="E54" s="74">
        <v>0</v>
      </c>
      <c r="F54" s="74"/>
      <c r="G54" s="74">
        <f t="shared" si="1"/>
        <v>0</v>
      </c>
    </row>
    <row r="55" spans="1:7" ht="21">
      <c r="A55" s="416" t="s">
        <v>85</v>
      </c>
      <c r="B55" s="417"/>
      <c r="C55" s="76"/>
      <c r="D55" s="77"/>
      <c r="E55" s="77">
        <f>SUM(E48:E54)</f>
        <v>107043.61</v>
      </c>
      <c r="F55" s="77">
        <f>SUM(F48:F54)</f>
        <v>0</v>
      </c>
      <c r="G55" s="78"/>
    </row>
    <row r="56" spans="1:8" s="81" customFormat="1" ht="21">
      <c r="A56" s="416" t="s">
        <v>319</v>
      </c>
      <c r="B56" s="417"/>
      <c r="C56" s="79"/>
      <c r="D56" s="77">
        <f>SUM(D48:D55)</f>
        <v>441000</v>
      </c>
      <c r="E56" s="77"/>
      <c r="F56" s="77"/>
      <c r="G56" s="78">
        <f>SUM(G48:G54)</f>
        <v>107043.61</v>
      </c>
      <c r="H56" s="80"/>
    </row>
    <row r="57" spans="1:7" ht="21">
      <c r="A57" s="56" t="s">
        <v>111</v>
      </c>
      <c r="B57" s="57"/>
      <c r="C57" s="58">
        <v>414000</v>
      </c>
      <c r="D57" s="85"/>
      <c r="E57" s="85"/>
      <c r="F57" s="85"/>
      <c r="G57" s="86"/>
    </row>
    <row r="58" spans="1:7" ht="21">
      <c r="A58" s="87">
        <v>1</v>
      </c>
      <c r="B58" s="105" t="s">
        <v>112</v>
      </c>
      <c r="C58" s="106">
        <v>414001</v>
      </c>
      <c r="D58" s="107">
        <v>0</v>
      </c>
      <c r="E58" s="107">
        <v>0</v>
      </c>
      <c r="F58" s="107"/>
      <c r="G58" s="107">
        <f>+E58</f>
        <v>0</v>
      </c>
    </row>
    <row r="59" spans="1:7" ht="21">
      <c r="A59" s="88">
        <v>2</v>
      </c>
      <c r="B59" s="92" t="s">
        <v>113</v>
      </c>
      <c r="C59" s="101">
        <v>414002</v>
      </c>
      <c r="D59" s="100">
        <v>0</v>
      </c>
      <c r="E59" s="100">
        <v>0</v>
      </c>
      <c r="F59" s="100"/>
      <c r="G59" s="100">
        <f>+E59</f>
        <v>0</v>
      </c>
    </row>
    <row r="60" spans="1:7" ht="21">
      <c r="A60" s="88">
        <v>3</v>
      </c>
      <c r="B60" s="92" t="s">
        <v>114</v>
      </c>
      <c r="C60" s="101"/>
      <c r="D60" s="100">
        <v>0</v>
      </c>
      <c r="E60" s="100">
        <v>0</v>
      </c>
      <c r="F60" s="100"/>
      <c r="G60" s="100">
        <f>+E60</f>
        <v>0</v>
      </c>
    </row>
    <row r="61" spans="1:7" ht="21">
      <c r="A61" s="88">
        <v>4</v>
      </c>
      <c r="B61" s="92" t="s">
        <v>115</v>
      </c>
      <c r="C61" s="101">
        <v>414005</v>
      </c>
      <c r="D61" s="100">
        <v>0</v>
      </c>
      <c r="E61" s="100">
        <v>0</v>
      </c>
      <c r="F61" s="100"/>
      <c r="G61" s="100">
        <f>+E61</f>
        <v>0</v>
      </c>
    </row>
    <row r="62" spans="1:7" ht="21">
      <c r="A62" s="88">
        <v>5</v>
      </c>
      <c r="B62" s="92" t="s">
        <v>116</v>
      </c>
      <c r="C62" s="101">
        <v>414004</v>
      </c>
      <c r="D62" s="100">
        <v>0</v>
      </c>
      <c r="E62" s="100">
        <v>0</v>
      </c>
      <c r="F62" s="100"/>
      <c r="G62" s="100">
        <f>+E62</f>
        <v>0</v>
      </c>
    </row>
    <row r="63" spans="1:7" ht="21">
      <c r="A63" s="88">
        <v>6</v>
      </c>
      <c r="B63" s="92" t="s">
        <v>28</v>
      </c>
      <c r="C63" s="101">
        <v>414006</v>
      </c>
      <c r="D63" s="100">
        <v>400000</v>
      </c>
      <c r="E63" s="100">
        <v>42639</v>
      </c>
      <c r="F63" s="100"/>
      <c r="G63" s="100">
        <f>32641+42639</f>
        <v>75280</v>
      </c>
    </row>
    <row r="64" spans="1:7" ht="21" customHeight="1">
      <c r="A64" s="102">
        <v>7</v>
      </c>
      <c r="B64" s="95" t="s">
        <v>117</v>
      </c>
      <c r="C64" s="103">
        <v>414999</v>
      </c>
      <c r="D64" s="104">
        <v>10000</v>
      </c>
      <c r="E64" s="104">
        <v>2550</v>
      </c>
      <c r="F64" s="108"/>
      <c r="G64" s="108">
        <f>3000+2550</f>
        <v>5550</v>
      </c>
    </row>
    <row r="65" spans="1:7" ht="21">
      <c r="A65" s="416" t="s">
        <v>85</v>
      </c>
      <c r="B65" s="417"/>
      <c r="C65" s="76"/>
      <c r="D65" s="77"/>
      <c r="E65" s="77">
        <f>SUM(E58:E64)</f>
        <v>45189</v>
      </c>
      <c r="F65" s="77">
        <f>SUM(F58:F64)</f>
        <v>0</v>
      </c>
      <c r="G65" s="78"/>
    </row>
    <row r="66" spans="1:8" s="81" customFormat="1" ht="21">
      <c r="A66" s="416" t="s">
        <v>319</v>
      </c>
      <c r="B66" s="417"/>
      <c r="C66" s="79"/>
      <c r="D66" s="77">
        <f>SUM(D58:D65)</f>
        <v>410000</v>
      </c>
      <c r="E66" s="77"/>
      <c r="F66" s="77"/>
      <c r="G66" s="78">
        <f>SUM(G58:G64)</f>
        <v>80830</v>
      </c>
      <c r="H66" s="80"/>
    </row>
    <row r="67" spans="1:7" ht="4.5" customHeight="1">
      <c r="A67" s="109"/>
      <c r="B67" s="110"/>
      <c r="C67" s="111"/>
      <c r="D67" s="85"/>
      <c r="E67" s="85"/>
      <c r="F67" s="85"/>
      <c r="G67" s="86"/>
    </row>
    <row r="68" spans="1:7" ht="21">
      <c r="A68" s="112" t="s">
        <v>118</v>
      </c>
      <c r="B68" s="57"/>
      <c r="C68" s="58">
        <v>415000</v>
      </c>
      <c r="D68" s="85"/>
      <c r="E68" s="85"/>
      <c r="F68" s="85"/>
      <c r="G68" s="86"/>
    </row>
    <row r="69" spans="1:7" ht="21">
      <c r="A69" s="87">
        <v>1</v>
      </c>
      <c r="B69" s="105" t="s">
        <v>119</v>
      </c>
      <c r="C69" s="106">
        <v>415001</v>
      </c>
      <c r="D69" s="107">
        <v>0</v>
      </c>
      <c r="E69" s="107">
        <v>0</v>
      </c>
      <c r="F69" s="107"/>
      <c r="G69" s="107">
        <f aca="true" t="shared" si="2" ref="G69:G76">+E69</f>
        <v>0</v>
      </c>
    </row>
    <row r="70" spans="1:7" ht="21">
      <c r="A70" s="88">
        <v>2</v>
      </c>
      <c r="B70" s="92" t="s">
        <v>120</v>
      </c>
      <c r="C70" s="101">
        <v>415002</v>
      </c>
      <c r="D70" s="100">
        <v>0</v>
      </c>
      <c r="E70" s="100">
        <v>0</v>
      </c>
      <c r="F70" s="100"/>
      <c r="G70" s="100">
        <f t="shared" si="2"/>
        <v>0</v>
      </c>
    </row>
    <row r="71" spans="1:7" ht="21">
      <c r="A71" s="88">
        <v>3</v>
      </c>
      <c r="B71" s="92" t="s">
        <v>121</v>
      </c>
      <c r="C71" s="101">
        <v>415003</v>
      </c>
      <c r="D71" s="100">
        <v>0</v>
      </c>
      <c r="E71" s="100">
        <v>0</v>
      </c>
      <c r="F71" s="100"/>
      <c r="G71" s="100">
        <f t="shared" si="2"/>
        <v>0</v>
      </c>
    </row>
    <row r="72" spans="1:7" ht="21">
      <c r="A72" s="88">
        <v>4</v>
      </c>
      <c r="B72" s="92" t="s">
        <v>29</v>
      </c>
      <c r="C72" s="101">
        <v>415004</v>
      </c>
      <c r="D72" s="100">
        <v>50000</v>
      </c>
      <c r="E72" s="100">
        <v>0</v>
      </c>
      <c r="F72" s="100"/>
      <c r="G72" s="100">
        <v>0</v>
      </c>
    </row>
    <row r="73" spans="1:7" ht="21">
      <c r="A73" s="88">
        <v>5</v>
      </c>
      <c r="B73" s="92" t="s">
        <v>122</v>
      </c>
      <c r="C73" s="101">
        <v>415005</v>
      </c>
      <c r="D73" s="100">
        <v>0</v>
      </c>
      <c r="E73" s="100">
        <v>0</v>
      </c>
      <c r="F73" s="100"/>
      <c r="G73" s="100">
        <f t="shared" si="2"/>
        <v>0</v>
      </c>
    </row>
    <row r="74" spans="1:7" ht="21">
      <c r="A74" s="88">
        <v>6</v>
      </c>
      <c r="B74" s="92" t="s">
        <v>123</v>
      </c>
      <c r="C74" s="101">
        <v>415006</v>
      </c>
      <c r="D74" s="100">
        <v>0</v>
      </c>
      <c r="E74" s="100">
        <v>0</v>
      </c>
      <c r="F74" s="100"/>
      <c r="G74" s="100">
        <f t="shared" si="2"/>
        <v>0</v>
      </c>
    </row>
    <row r="75" spans="1:7" ht="21">
      <c r="A75" s="88">
        <v>7</v>
      </c>
      <c r="B75" s="92" t="s">
        <v>124</v>
      </c>
      <c r="C75" s="101">
        <v>415007</v>
      </c>
      <c r="D75" s="100">
        <v>1000</v>
      </c>
      <c r="E75" s="100">
        <v>0</v>
      </c>
      <c r="F75" s="100"/>
      <c r="G75" s="100">
        <f t="shared" si="2"/>
        <v>0</v>
      </c>
    </row>
    <row r="76" spans="1:7" ht="21">
      <c r="A76" s="88">
        <v>8</v>
      </c>
      <c r="B76" s="92" t="s">
        <v>125</v>
      </c>
      <c r="C76" s="101">
        <v>415008</v>
      </c>
      <c r="D76" s="100">
        <v>0</v>
      </c>
      <c r="E76" s="100">
        <v>0</v>
      </c>
      <c r="F76" s="100"/>
      <c r="G76" s="100">
        <f t="shared" si="2"/>
        <v>0</v>
      </c>
    </row>
    <row r="77" spans="1:7" ht="21">
      <c r="A77" s="102">
        <v>9</v>
      </c>
      <c r="B77" s="95" t="s">
        <v>126</v>
      </c>
      <c r="C77" s="103">
        <v>415999</v>
      </c>
      <c r="D77" s="104">
        <v>1000</v>
      </c>
      <c r="E77" s="100">
        <v>0</v>
      </c>
      <c r="F77" s="108"/>
      <c r="G77" s="108">
        <v>0</v>
      </c>
    </row>
    <row r="78" spans="1:7" ht="21">
      <c r="A78" s="416" t="s">
        <v>85</v>
      </c>
      <c r="B78" s="417"/>
      <c r="C78" s="76"/>
      <c r="D78" s="77"/>
      <c r="E78" s="77">
        <f>SUM(E69:E77)</f>
        <v>0</v>
      </c>
      <c r="F78" s="77">
        <f>SUM(F69:F77)</f>
        <v>0</v>
      </c>
      <c r="G78" s="78"/>
    </row>
    <row r="79" spans="1:8" s="81" customFormat="1" ht="21">
      <c r="A79" s="416" t="s">
        <v>319</v>
      </c>
      <c r="B79" s="417"/>
      <c r="C79" s="79"/>
      <c r="D79" s="77">
        <f>SUM(D69:D78)</f>
        <v>52000</v>
      </c>
      <c r="E79" s="77"/>
      <c r="F79" s="77"/>
      <c r="G79" s="78">
        <f>SUM(G69:G77)</f>
        <v>0</v>
      </c>
      <c r="H79" s="80"/>
    </row>
    <row r="80" spans="1:7" ht="5.25" customHeight="1">
      <c r="A80" s="113"/>
      <c r="B80" s="114"/>
      <c r="C80" s="111"/>
      <c r="D80" s="85"/>
      <c r="E80" s="85"/>
      <c r="F80" s="85"/>
      <c r="G80" s="86"/>
    </row>
    <row r="81" spans="1:7" ht="21">
      <c r="A81" s="115" t="s">
        <v>127</v>
      </c>
      <c r="B81" s="116"/>
      <c r="C81" s="96">
        <v>416000</v>
      </c>
      <c r="D81" s="117"/>
      <c r="E81" s="117"/>
      <c r="F81" s="117"/>
      <c r="G81" s="86"/>
    </row>
    <row r="82" spans="1:7" ht="21">
      <c r="A82" s="102">
        <v>1</v>
      </c>
      <c r="B82" s="95" t="s">
        <v>128</v>
      </c>
      <c r="C82" s="103">
        <v>416001</v>
      </c>
      <c r="D82" s="104">
        <v>10000</v>
      </c>
      <c r="E82" s="104">
        <v>0</v>
      </c>
      <c r="F82" s="104"/>
      <c r="G82" s="104">
        <v>0</v>
      </c>
    </row>
    <row r="83" spans="1:7" ht="21">
      <c r="A83" s="416" t="s">
        <v>85</v>
      </c>
      <c r="B83" s="417"/>
      <c r="C83" s="76"/>
      <c r="D83" s="77"/>
      <c r="E83" s="77">
        <f>SUM(E82)</f>
        <v>0</v>
      </c>
      <c r="F83" s="77">
        <f>SUM(F82)</f>
        <v>0</v>
      </c>
      <c r="G83" s="78"/>
    </row>
    <row r="84" spans="1:8" s="81" customFormat="1" ht="21">
      <c r="A84" s="416" t="s">
        <v>319</v>
      </c>
      <c r="B84" s="417"/>
      <c r="C84" s="79"/>
      <c r="D84" s="77">
        <f>SUM(D82:D83)</f>
        <v>10000</v>
      </c>
      <c r="E84" s="77"/>
      <c r="F84" s="77"/>
      <c r="G84" s="78">
        <f>SUM(G82)</f>
        <v>0</v>
      </c>
      <c r="H84" s="80"/>
    </row>
    <row r="85" spans="1:7" ht="21">
      <c r="A85" s="115" t="s">
        <v>129</v>
      </c>
      <c r="B85" s="118"/>
      <c r="C85" s="119">
        <v>420000</v>
      </c>
      <c r="D85" s="117"/>
      <c r="E85" s="117"/>
      <c r="F85" s="117"/>
      <c r="G85" s="120"/>
    </row>
    <row r="86" spans="1:7" ht="21">
      <c r="A86" s="115" t="s">
        <v>130</v>
      </c>
      <c r="B86" s="116"/>
      <c r="C86" s="96">
        <v>421000</v>
      </c>
      <c r="D86" s="117"/>
      <c r="E86" s="117"/>
      <c r="F86" s="117"/>
      <c r="G86" s="120"/>
    </row>
    <row r="87" spans="1:7" ht="21">
      <c r="A87" s="121">
        <v>1</v>
      </c>
      <c r="B87" s="122" t="s">
        <v>131</v>
      </c>
      <c r="C87" s="123">
        <v>421001</v>
      </c>
      <c r="D87" s="63">
        <v>0</v>
      </c>
      <c r="E87" s="63">
        <v>0</v>
      </c>
      <c r="F87" s="63"/>
      <c r="G87" s="63">
        <v>51342.16</v>
      </c>
    </row>
    <row r="88" spans="1:7" ht="21">
      <c r="A88" s="121">
        <v>2</v>
      </c>
      <c r="B88" s="122" t="s">
        <v>383</v>
      </c>
      <c r="C88" s="123">
        <v>421004</v>
      </c>
      <c r="D88" s="63">
        <v>2900000</v>
      </c>
      <c r="E88" s="63">
        <v>263087.29</v>
      </c>
      <c r="F88" s="63"/>
      <c r="G88" s="63">
        <f>227979.3+263087.29</f>
        <v>491066.58999999997</v>
      </c>
    </row>
    <row r="89" spans="1:7" ht="21">
      <c r="A89" s="124">
        <v>3</v>
      </c>
      <c r="B89" s="125" t="s">
        <v>132</v>
      </c>
      <c r="C89" s="126">
        <v>421002</v>
      </c>
      <c r="D89" s="67">
        <v>7748000</v>
      </c>
      <c r="E89" s="67">
        <v>649005.7</v>
      </c>
      <c r="F89" s="63"/>
      <c r="G89" s="63">
        <f>646304.16+649005.7</f>
        <v>1295309.8599999999</v>
      </c>
    </row>
    <row r="90" spans="1:7" ht="21">
      <c r="A90" s="127">
        <v>4</v>
      </c>
      <c r="B90" s="128" t="s">
        <v>30</v>
      </c>
      <c r="C90" s="129">
        <v>421005</v>
      </c>
      <c r="D90" s="91">
        <v>80000</v>
      </c>
      <c r="E90" s="67">
        <v>0</v>
      </c>
      <c r="F90" s="63"/>
      <c r="G90" s="63">
        <v>0</v>
      </c>
    </row>
    <row r="91" spans="1:7" ht="21">
      <c r="A91" s="127">
        <v>5</v>
      </c>
      <c r="B91" s="128" t="s">
        <v>31</v>
      </c>
      <c r="C91" s="129">
        <v>421006</v>
      </c>
      <c r="D91" s="91">
        <v>1200000</v>
      </c>
      <c r="E91" s="67">
        <v>122874.86</v>
      </c>
      <c r="F91" s="63"/>
      <c r="G91" s="63">
        <f>107971.27+122874.86</f>
        <v>230846.13</v>
      </c>
    </row>
    <row r="92" spans="1:7" ht="21">
      <c r="A92" s="127">
        <v>6</v>
      </c>
      <c r="B92" s="128" t="s">
        <v>32</v>
      </c>
      <c r="C92" s="129">
        <v>421007</v>
      </c>
      <c r="D92" s="91">
        <v>2400000</v>
      </c>
      <c r="E92" s="67">
        <v>258923.89</v>
      </c>
      <c r="F92" s="63"/>
      <c r="G92" s="63">
        <f>233116.98+258923.89</f>
        <v>492040.87</v>
      </c>
    </row>
    <row r="93" spans="1:7" ht="21">
      <c r="A93" s="64">
        <v>7</v>
      </c>
      <c r="B93" s="89" t="s">
        <v>133</v>
      </c>
      <c r="C93" s="90">
        <v>421008</v>
      </c>
      <c r="D93" s="91">
        <v>0</v>
      </c>
      <c r="E93" s="67">
        <v>0</v>
      </c>
      <c r="F93" s="63"/>
      <c r="G93" s="63">
        <f aca="true" t="shared" si="3" ref="G93:G103">+E93</f>
        <v>0</v>
      </c>
    </row>
    <row r="94" spans="1:7" ht="21">
      <c r="A94" s="64">
        <v>8</v>
      </c>
      <c r="B94" s="89" t="s">
        <v>134</v>
      </c>
      <c r="C94" s="90">
        <v>421009</v>
      </c>
      <c r="D94" s="91">
        <v>0</v>
      </c>
      <c r="E94" s="67">
        <v>0</v>
      </c>
      <c r="F94" s="63"/>
      <c r="G94" s="63">
        <f t="shared" si="3"/>
        <v>0</v>
      </c>
    </row>
    <row r="95" spans="1:7" ht="21">
      <c r="A95" s="64">
        <v>9</v>
      </c>
      <c r="B95" s="89" t="s">
        <v>135</v>
      </c>
      <c r="C95" s="90">
        <v>421010</v>
      </c>
      <c r="D95" s="91">
        <v>0</v>
      </c>
      <c r="E95" s="67">
        <v>0</v>
      </c>
      <c r="F95" s="63"/>
      <c r="G95" s="63">
        <f t="shared" si="3"/>
        <v>0</v>
      </c>
    </row>
    <row r="96" spans="1:7" ht="21">
      <c r="A96" s="64">
        <v>10</v>
      </c>
      <c r="B96" s="89" t="s">
        <v>136</v>
      </c>
      <c r="C96" s="90">
        <v>421011</v>
      </c>
      <c r="D96" s="91">
        <v>0</v>
      </c>
      <c r="E96" s="67">
        <v>0</v>
      </c>
      <c r="F96" s="63"/>
      <c r="G96" s="63">
        <f t="shared" si="3"/>
        <v>0</v>
      </c>
    </row>
    <row r="97" spans="1:7" ht="21">
      <c r="A97" s="64">
        <v>11</v>
      </c>
      <c r="B97" s="89" t="s">
        <v>33</v>
      </c>
      <c r="C97" s="90">
        <v>421012</v>
      </c>
      <c r="D97" s="91">
        <v>80000</v>
      </c>
      <c r="E97" s="67">
        <v>0</v>
      </c>
      <c r="F97" s="63"/>
      <c r="G97" s="63">
        <f t="shared" si="3"/>
        <v>0</v>
      </c>
    </row>
    <row r="98" spans="1:7" ht="21">
      <c r="A98" s="64">
        <v>12</v>
      </c>
      <c r="B98" s="89" t="s">
        <v>34</v>
      </c>
      <c r="C98" s="90">
        <v>421013</v>
      </c>
      <c r="D98" s="91">
        <v>100000</v>
      </c>
      <c r="E98" s="67">
        <v>0</v>
      </c>
      <c r="F98" s="63"/>
      <c r="G98" s="63">
        <v>16086.16</v>
      </c>
    </row>
    <row r="99" spans="1:7" ht="21">
      <c r="A99" s="64">
        <v>13</v>
      </c>
      <c r="B99" s="89" t="s">
        <v>137</v>
      </c>
      <c r="C99" s="90">
        <v>421014</v>
      </c>
      <c r="D99" s="91">
        <v>0</v>
      </c>
      <c r="E99" s="67">
        <v>0</v>
      </c>
      <c r="F99" s="63"/>
      <c r="G99" s="63">
        <f t="shared" si="3"/>
        <v>0</v>
      </c>
    </row>
    <row r="100" spans="1:7" ht="21">
      <c r="A100" s="64">
        <v>14</v>
      </c>
      <c r="B100" s="89" t="s">
        <v>138</v>
      </c>
      <c r="C100" s="90">
        <v>421017</v>
      </c>
      <c r="D100" s="91">
        <v>1000</v>
      </c>
      <c r="E100" s="91">
        <v>0</v>
      </c>
      <c r="F100" s="71"/>
      <c r="G100" s="63">
        <f t="shared" si="3"/>
        <v>0</v>
      </c>
    </row>
    <row r="101" spans="1:7" ht="21">
      <c r="A101" s="64">
        <v>15</v>
      </c>
      <c r="B101" s="130" t="s">
        <v>139</v>
      </c>
      <c r="C101" s="131">
        <v>421015</v>
      </c>
      <c r="D101" s="132">
        <v>1200000</v>
      </c>
      <c r="E101" s="132">
        <v>194326</v>
      </c>
      <c r="F101" s="133"/>
      <c r="G101" s="63">
        <v>194326</v>
      </c>
    </row>
    <row r="102" spans="1:7" ht="21">
      <c r="A102" s="64">
        <v>16</v>
      </c>
      <c r="B102" s="89" t="s">
        <v>140</v>
      </c>
      <c r="C102" s="90"/>
      <c r="D102" s="91">
        <v>0</v>
      </c>
      <c r="E102" s="132">
        <v>0</v>
      </c>
      <c r="F102" s="133"/>
      <c r="G102" s="63">
        <f t="shared" si="3"/>
        <v>0</v>
      </c>
    </row>
    <row r="103" spans="1:7" ht="21">
      <c r="A103" s="64">
        <v>17</v>
      </c>
      <c r="B103" s="89" t="s">
        <v>141</v>
      </c>
      <c r="C103" s="90">
        <v>421999</v>
      </c>
      <c r="D103" s="91">
        <v>1000</v>
      </c>
      <c r="E103" s="132">
        <v>0</v>
      </c>
      <c r="F103" s="132"/>
      <c r="G103" s="67">
        <f t="shared" si="3"/>
        <v>0</v>
      </c>
    </row>
    <row r="104" spans="1:7" ht="11.25" customHeight="1">
      <c r="A104" s="134"/>
      <c r="B104" s="72"/>
      <c r="C104" s="135"/>
      <c r="D104" s="136"/>
      <c r="E104" s="137"/>
      <c r="F104" s="137"/>
      <c r="G104" s="75"/>
    </row>
    <row r="105" spans="1:7" ht="21">
      <c r="A105" s="416" t="s">
        <v>85</v>
      </c>
      <c r="B105" s="417"/>
      <c r="C105" s="76"/>
      <c r="D105" s="77"/>
      <c r="E105" s="77">
        <f>SUM(E87:E103)</f>
        <v>1488217.74</v>
      </c>
      <c r="F105" s="77">
        <f>SUM(F87:F103)</f>
        <v>0</v>
      </c>
      <c r="G105" s="78"/>
    </row>
    <row r="106" spans="1:8" s="81" customFormat="1" ht="21">
      <c r="A106" s="416" t="s">
        <v>319</v>
      </c>
      <c r="B106" s="417"/>
      <c r="C106" s="79"/>
      <c r="D106" s="77">
        <f>SUM(D87:D105)</f>
        <v>15710000</v>
      </c>
      <c r="E106" s="77"/>
      <c r="F106" s="77"/>
      <c r="G106" s="78">
        <f>SUM(G87:G103)</f>
        <v>2771017.77</v>
      </c>
      <c r="H106" s="80"/>
    </row>
    <row r="107" spans="1:7" ht="21">
      <c r="A107" s="138" t="s">
        <v>142</v>
      </c>
      <c r="B107" s="57"/>
      <c r="C107" s="58">
        <v>431000</v>
      </c>
      <c r="D107" s="85"/>
      <c r="E107" s="85"/>
      <c r="F107" s="85"/>
      <c r="G107" s="86"/>
    </row>
    <row r="108" spans="1:7" ht="21.75" customHeight="1">
      <c r="A108" s="139">
        <v>1</v>
      </c>
      <c r="B108" s="140" t="s">
        <v>143</v>
      </c>
      <c r="C108" s="141">
        <v>431002</v>
      </c>
      <c r="D108" s="100"/>
      <c r="E108" s="91">
        <v>0</v>
      </c>
      <c r="F108" s="91"/>
      <c r="G108" s="142">
        <v>0</v>
      </c>
    </row>
    <row r="109" spans="1:7" ht="21">
      <c r="A109" s="143">
        <v>2</v>
      </c>
      <c r="B109" s="92" t="s">
        <v>144</v>
      </c>
      <c r="C109" s="141">
        <v>431002</v>
      </c>
      <c r="D109" s="100">
        <v>11000000</v>
      </c>
      <c r="E109" s="91">
        <v>2018826</v>
      </c>
      <c r="F109" s="91"/>
      <c r="G109" s="100">
        <v>2018826</v>
      </c>
    </row>
    <row r="110" spans="1:7" ht="21">
      <c r="A110" s="143">
        <v>3</v>
      </c>
      <c r="B110" s="92" t="s">
        <v>35</v>
      </c>
      <c r="C110" s="141">
        <v>431002</v>
      </c>
      <c r="D110" s="100"/>
      <c r="E110" s="91">
        <v>9000</v>
      </c>
      <c r="F110" s="91"/>
      <c r="G110" s="100">
        <v>9000</v>
      </c>
    </row>
    <row r="111" spans="1:7" ht="21">
      <c r="A111" s="143">
        <v>4</v>
      </c>
      <c r="B111" s="92" t="s">
        <v>36</v>
      </c>
      <c r="C111" s="141">
        <v>431002</v>
      </c>
      <c r="D111" s="100"/>
      <c r="E111" s="91">
        <v>268132</v>
      </c>
      <c r="F111" s="91"/>
      <c r="G111" s="100">
        <v>268132</v>
      </c>
    </row>
    <row r="112" spans="1:7" ht="21">
      <c r="A112" s="143">
        <v>5</v>
      </c>
      <c r="B112" s="92" t="s">
        <v>37</v>
      </c>
      <c r="C112" s="141">
        <v>431002</v>
      </c>
      <c r="D112" s="100"/>
      <c r="E112" s="91">
        <v>1057000</v>
      </c>
      <c r="F112" s="91"/>
      <c r="G112" s="100">
        <v>1057000</v>
      </c>
    </row>
    <row r="113" spans="1:7" ht="21">
      <c r="A113" s="143">
        <v>6</v>
      </c>
      <c r="B113" s="92" t="s">
        <v>431</v>
      </c>
      <c r="C113" s="141">
        <v>431002</v>
      </c>
      <c r="D113" s="100"/>
      <c r="E113" s="91">
        <v>12000</v>
      </c>
      <c r="F113" s="91"/>
      <c r="G113" s="100">
        <v>12000</v>
      </c>
    </row>
    <row r="114" spans="1:7" ht="21">
      <c r="A114" s="143">
        <v>7</v>
      </c>
      <c r="B114" s="92" t="s">
        <v>38</v>
      </c>
      <c r="C114" s="141">
        <v>431002</v>
      </c>
      <c r="D114" s="100"/>
      <c r="E114" s="91">
        <v>75000</v>
      </c>
      <c r="F114" s="91"/>
      <c r="G114" s="100">
        <v>75000</v>
      </c>
    </row>
    <row r="115" spans="1:7" ht="21">
      <c r="A115" s="143">
        <v>8</v>
      </c>
      <c r="B115" s="92" t="s">
        <v>145</v>
      </c>
      <c r="C115" s="101">
        <v>441001</v>
      </c>
      <c r="D115" s="100"/>
      <c r="E115" s="91">
        <v>2058000</v>
      </c>
      <c r="F115" s="144"/>
      <c r="G115" s="100">
        <v>2058000</v>
      </c>
    </row>
    <row r="116" spans="1:7" ht="21">
      <c r="A116" s="143">
        <v>9</v>
      </c>
      <c r="B116" s="92" t="s">
        <v>146</v>
      </c>
      <c r="C116" s="101">
        <v>441001</v>
      </c>
      <c r="D116" s="100"/>
      <c r="E116" s="91">
        <v>261600</v>
      </c>
      <c r="F116" s="144"/>
      <c r="G116" s="100">
        <v>261600</v>
      </c>
    </row>
    <row r="117" spans="1:7" ht="21">
      <c r="A117" s="143">
        <v>10</v>
      </c>
      <c r="B117" s="92" t="s">
        <v>147</v>
      </c>
      <c r="C117" s="101">
        <v>441001</v>
      </c>
      <c r="D117" s="100"/>
      <c r="E117" s="91">
        <v>220500</v>
      </c>
      <c r="F117" s="144"/>
      <c r="G117" s="100">
        <v>220500</v>
      </c>
    </row>
    <row r="118" spans="1:7" ht="37.5">
      <c r="A118" s="143">
        <v>11</v>
      </c>
      <c r="B118" s="92" t="s">
        <v>432</v>
      </c>
      <c r="C118" s="101">
        <v>441001</v>
      </c>
      <c r="D118" s="100"/>
      <c r="E118" s="394">
        <v>68400</v>
      </c>
      <c r="F118" s="394"/>
      <c r="G118" s="394">
        <v>68400</v>
      </c>
    </row>
    <row r="119" spans="1:7" ht="37.5">
      <c r="A119" s="143">
        <v>12</v>
      </c>
      <c r="B119" s="92" t="s">
        <v>148</v>
      </c>
      <c r="C119" s="101">
        <v>441001</v>
      </c>
      <c r="D119" s="100"/>
      <c r="E119" s="394">
        <v>3420</v>
      </c>
      <c r="F119" s="394"/>
      <c r="G119" s="394">
        <f>1090+3420</f>
        <v>4510</v>
      </c>
    </row>
    <row r="120" spans="1:7" ht="37.5">
      <c r="A120" s="143">
        <v>13</v>
      </c>
      <c r="B120" s="92" t="s">
        <v>149</v>
      </c>
      <c r="C120" s="101">
        <v>441001</v>
      </c>
      <c r="D120" s="100"/>
      <c r="E120" s="394">
        <v>114800</v>
      </c>
      <c r="F120" s="394"/>
      <c r="G120" s="394">
        <v>114800</v>
      </c>
    </row>
    <row r="121" spans="1:7" ht="37.5">
      <c r="A121" s="143">
        <v>14</v>
      </c>
      <c r="B121" s="92" t="s">
        <v>433</v>
      </c>
      <c r="C121" s="101">
        <v>441001</v>
      </c>
      <c r="D121" s="100"/>
      <c r="E121" s="394">
        <v>50000</v>
      </c>
      <c r="F121" s="394"/>
      <c r="G121" s="100">
        <v>50000</v>
      </c>
    </row>
    <row r="122" spans="1:7" ht="9.75" customHeight="1">
      <c r="A122" s="102"/>
      <c r="B122" s="105"/>
      <c r="C122" s="96"/>
      <c r="D122" s="136"/>
      <c r="E122" s="136"/>
      <c r="F122" s="74"/>
      <c r="G122" s="108"/>
    </row>
    <row r="123" spans="1:7" ht="21">
      <c r="A123" s="418" t="s">
        <v>85</v>
      </c>
      <c r="B123" s="419"/>
      <c r="C123" s="76"/>
      <c r="D123" s="77"/>
      <c r="E123" s="77">
        <f>SUM(E108:E122)</f>
        <v>6216678</v>
      </c>
      <c r="F123" s="145">
        <f>SUM(F108:F121)</f>
        <v>0</v>
      </c>
      <c r="G123" s="78"/>
    </row>
    <row r="124" spans="1:8" s="81" customFormat="1" ht="21">
      <c r="A124" s="416" t="s">
        <v>319</v>
      </c>
      <c r="B124" s="417"/>
      <c r="C124" s="79"/>
      <c r="D124" s="77">
        <f>SUM(D108:D123)</f>
        <v>11000000</v>
      </c>
      <c r="E124" s="77"/>
      <c r="F124" s="77"/>
      <c r="G124" s="78">
        <f>SUM(G108:G122)</f>
        <v>6217768</v>
      </c>
      <c r="H124" s="80"/>
    </row>
    <row r="125" spans="1:8" ht="21" hidden="1">
      <c r="A125" s="112" t="s">
        <v>150</v>
      </c>
      <c r="B125" s="57"/>
      <c r="C125" s="58">
        <v>441000</v>
      </c>
      <c r="D125" s="146"/>
      <c r="E125" s="146">
        <v>0</v>
      </c>
      <c r="F125" s="146"/>
      <c r="G125" s="147">
        <v>0</v>
      </c>
      <c r="H125" s="148"/>
    </row>
    <row r="126" spans="1:7" ht="21" hidden="1">
      <c r="A126" s="143">
        <v>1</v>
      </c>
      <c r="B126" s="92" t="s">
        <v>151</v>
      </c>
      <c r="C126" s="101">
        <v>441001</v>
      </c>
      <c r="D126" s="100"/>
      <c r="E126" s="91">
        <v>0</v>
      </c>
      <c r="F126" s="91"/>
      <c r="G126" s="100">
        <v>0</v>
      </c>
    </row>
    <row r="127" spans="1:7" ht="21" hidden="1">
      <c r="A127" s="143">
        <v>2</v>
      </c>
      <c r="B127" s="92" t="s">
        <v>152</v>
      </c>
      <c r="C127" s="101">
        <v>441001</v>
      </c>
      <c r="D127" s="100"/>
      <c r="E127" s="91">
        <v>0</v>
      </c>
      <c r="F127" s="91"/>
      <c r="G127" s="100">
        <v>0</v>
      </c>
    </row>
    <row r="128" spans="1:7" ht="21" hidden="1">
      <c r="A128" s="143">
        <v>3</v>
      </c>
      <c r="B128" s="92" t="s">
        <v>153</v>
      </c>
      <c r="C128" s="101">
        <v>441001</v>
      </c>
      <c r="D128" s="100"/>
      <c r="E128" s="91">
        <v>0</v>
      </c>
      <c r="F128" s="91"/>
      <c r="G128" s="100">
        <v>0</v>
      </c>
    </row>
    <row r="129" spans="1:8" ht="12" customHeight="1" hidden="1">
      <c r="A129" s="149"/>
      <c r="B129" s="150"/>
      <c r="C129" s="151"/>
      <c r="D129" s="152"/>
      <c r="E129" s="153"/>
      <c r="F129" s="153"/>
      <c r="G129" s="154"/>
      <c r="H129" s="148"/>
    </row>
    <row r="130" spans="1:8" ht="21" hidden="1">
      <c r="A130" s="418" t="s">
        <v>85</v>
      </c>
      <c r="B130" s="419"/>
      <c r="C130" s="76"/>
      <c r="D130" s="155"/>
      <c r="E130" s="155">
        <f>SUM(E126:E129)</f>
        <v>0</v>
      </c>
      <c r="F130" s="155">
        <f>SUM(F126:F128)</f>
        <v>0</v>
      </c>
      <c r="G130" s="156"/>
      <c r="H130" s="148"/>
    </row>
    <row r="131" spans="1:8" s="81" customFormat="1" ht="21" hidden="1">
      <c r="A131" s="416" t="s">
        <v>319</v>
      </c>
      <c r="B131" s="417"/>
      <c r="C131" s="79"/>
      <c r="D131" s="155"/>
      <c r="E131" s="155"/>
      <c r="F131" s="155"/>
      <c r="G131" s="156">
        <f>SUM(G126:G130)</f>
        <v>0</v>
      </c>
      <c r="H131" s="157"/>
    </row>
    <row r="132" spans="1:9" s="81" customFormat="1" ht="21">
      <c r="A132" s="416" t="s">
        <v>154</v>
      </c>
      <c r="B132" s="417"/>
      <c r="C132" s="79"/>
      <c r="D132" s="77"/>
      <c r="E132" s="77">
        <f>+E16+E44+E55+E65+E78+E83+E105+E123+E130</f>
        <v>7897161.39</v>
      </c>
      <c r="F132" s="77"/>
      <c r="G132" s="78"/>
      <c r="H132" s="80"/>
      <c r="I132" s="158"/>
    </row>
    <row r="133" spans="1:8" s="81" customFormat="1" ht="21">
      <c r="A133" s="416" t="s">
        <v>155</v>
      </c>
      <c r="B133" s="417"/>
      <c r="C133" s="79"/>
      <c r="D133" s="77">
        <f>+D17+D45+D56+D66+D79+D84+D106+D124</f>
        <v>28000000</v>
      </c>
      <c r="E133" s="77"/>
      <c r="F133" s="77">
        <f>+F16+F44+F55+F65+F78+F83+F105+F123+F130</f>
        <v>0</v>
      </c>
      <c r="G133" s="78">
        <f>+G17+G45+G56+G66+G79+G84+G106+G124+G131</f>
        <v>9231143.6</v>
      </c>
      <c r="H133" s="80"/>
    </row>
    <row r="134" spans="5:7" ht="21">
      <c r="E134" s="158"/>
      <c r="F134" s="158"/>
      <c r="G134" s="160"/>
    </row>
    <row r="135" spans="5:7" ht="21">
      <c r="E135" s="161"/>
      <c r="F135" s="161"/>
      <c r="G135" s="161"/>
    </row>
    <row r="136" spans="3:8" s="162" customFormat="1" ht="21">
      <c r="C136" s="159"/>
      <c r="E136" s="163"/>
      <c r="G136" s="164"/>
      <c r="H136" s="165"/>
    </row>
    <row r="137" spans="3:8" s="162" customFormat="1" ht="21">
      <c r="C137" s="159"/>
      <c r="E137" s="164"/>
      <c r="F137" s="164"/>
      <c r="G137" s="164"/>
      <c r="H137" s="165"/>
    </row>
    <row r="138" spans="3:8" s="162" customFormat="1" ht="21">
      <c r="C138" s="159"/>
      <c r="G138" s="164"/>
      <c r="H138" s="165"/>
    </row>
    <row r="139" spans="3:8" s="162" customFormat="1" ht="21">
      <c r="C139" s="159"/>
      <c r="G139" s="164"/>
      <c r="H139" s="165"/>
    </row>
    <row r="140" spans="3:8" s="162" customFormat="1" ht="21">
      <c r="C140" s="159"/>
      <c r="G140" s="164"/>
      <c r="H140" s="165"/>
    </row>
    <row r="141" spans="3:8" s="162" customFormat="1" ht="21">
      <c r="C141" s="159"/>
      <c r="H141" s="165"/>
    </row>
    <row r="142" spans="3:8" s="162" customFormat="1" ht="21">
      <c r="C142" s="159"/>
      <c r="H142" s="165"/>
    </row>
    <row r="143" spans="3:8" s="162" customFormat="1" ht="21">
      <c r="C143" s="159"/>
      <c r="H143" s="165"/>
    </row>
    <row r="144" spans="3:8" s="162" customFormat="1" ht="21">
      <c r="C144" s="159"/>
      <c r="H144" s="165"/>
    </row>
    <row r="145" spans="3:8" s="162" customFormat="1" ht="21">
      <c r="C145" s="159"/>
      <c r="H145" s="165"/>
    </row>
    <row r="146" spans="3:8" s="162" customFormat="1" ht="21">
      <c r="C146" s="159"/>
      <c r="H146" s="165"/>
    </row>
    <row r="147" spans="3:8" s="162" customFormat="1" ht="21">
      <c r="C147" s="159"/>
      <c r="H147" s="165"/>
    </row>
    <row r="148" spans="3:8" s="162" customFormat="1" ht="21">
      <c r="C148" s="159"/>
      <c r="H148" s="165"/>
    </row>
    <row r="149" spans="3:8" s="162" customFormat="1" ht="21">
      <c r="C149" s="159"/>
      <c r="H149" s="165"/>
    </row>
    <row r="150" spans="3:8" s="162" customFormat="1" ht="21">
      <c r="C150" s="159"/>
      <c r="H150" s="165"/>
    </row>
    <row r="151" spans="3:8" s="162" customFormat="1" ht="21">
      <c r="C151" s="159"/>
      <c r="H151" s="165"/>
    </row>
  </sheetData>
  <sheetProtection/>
  <mergeCells count="24">
    <mergeCell ref="A123:B123"/>
    <mergeCell ref="A124:B124"/>
    <mergeCell ref="A130:B130"/>
    <mergeCell ref="A131:B131"/>
    <mergeCell ref="A132:B132"/>
    <mergeCell ref="A133:B133"/>
    <mergeCell ref="A78:B78"/>
    <mergeCell ref="A79:B79"/>
    <mergeCell ref="A83:B83"/>
    <mergeCell ref="A84:B84"/>
    <mergeCell ref="A105:B105"/>
    <mergeCell ref="A106:B106"/>
    <mergeCell ref="A44:B44"/>
    <mergeCell ref="A45:B45"/>
    <mergeCell ref="A55:B55"/>
    <mergeCell ref="A56:B56"/>
    <mergeCell ref="A65:B65"/>
    <mergeCell ref="A66:B66"/>
    <mergeCell ref="A2:G2"/>
    <mergeCell ref="A3:G3"/>
    <mergeCell ref="A4:G4"/>
    <mergeCell ref="A6:B6"/>
    <mergeCell ref="A16:B16"/>
    <mergeCell ref="A17:B17"/>
  </mergeCells>
  <printOptions/>
  <pageMargins left="0.42" right="0" top="0.21" bottom="0.19" header="0.16" footer="0.17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2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57421875" style="341" customWidth="1"/>
    <col min="2" max="5" width="15.7109375" style="199" customWidth="1"/>
    <col min="6" max="6" width="15.7109375" style="343" customWidth="1"/>
    <col min="7" max="7" width="15.28125" style="343" customWidth="1"/>
    <col min="8" max="8" width="13.57421875" style="199" bestFit="1" customWidth="1"/>
    <col min="9" max="9" width="13.421875" style="341" bestFit="1" customWidth="1"/>
    <col min="10" max="16384" width="9.140625" style="341" customWidth="1"/>
  </cols>
  <sheetData>
    <row r="1" spans="1:9" ht="21">
      <c r="A1" s="420" t="s">
        <v>62</v>
      </c>
      <c r="B1" s="420"/>
      <c r="C1" s="420"/>
      <c r="D1" s="420"/>
      <c r="E1" s="420"/>
      <c r="F1" s="420"/>
      <c r="G1" s="349"/>
      <c r="H1" s="349"/>
      <c r="I1" s="199"/>
    </row>
    <row r="2" spans="1:9" ht="21">
      <c r="A2" s="421" t="s">
        <v>403</v>
      </c>
      <c r="B2" s="421"/>
      <c r="C2" s="421"/>
      <c r="D2" s="421"/>
      <c r="E2" s="421"/>
      <c r="F2" s="421"/>
      <c r="G2" s="350"/>
      <c r="H2" s="350"/>
      <c r="I2" s="199"/>
    </row>
    <row r="3" spans="1:9" ht="21">
      <c r="A3" s="422" t="str">
        <f>+'หมายเหตุ 1 รายรับจริง'!A4:G4</f>
        <v>ณ  วันที่  30  พฤศจิกายน  2558</v>
      </c>
      <c r="B3" s="422"/>
      <c r="C3" s="422"/>
      <c r="D3" s="422"/>
      <c r="E3" s="422"/>
      <c r="F3" s="422"/>
      <c r="G3" s="351"/>
      <c r="H3" s="351"/>
      <c r="I3" s="199"/>
    </row>
    <row r="4" spans="1:8" ht="21">
      <c r="A4" s="340"/>
      <c r="B4" s="352"/>
      <c r="C4" s="352"/>
      <c r="D4" s="352"/>
      <c r="E4" s="353"/>
      <c r="H4" s="341"/>
    </row>
    <row r="5" spans="1:6" ht="21">
      <c r="A5" s="354" t="s">
        <v>421</v>
      </c>
      <c r="B5" s="352"/>
      <c r="C5" s="352"/>
      <c r="D5" s="352"/>
      <c r="F5" s="342"/>
    </row>
    <row r="6" spans="1:6" ht="21">
      <c r="A6" s="355" t="s">
        <v>156</v>
      </c>
      <c r="B6" s="352"/>
      <c r="C6" s="352"/>
      <c r="D6" s="352"/>
      <c r="F6" s="356" t="s">
        <v>157</v>
      </c>
    </row>
    <row r="7" spans="1:8" ht="21">
      <c r="A7" s="354"/>
      <c r="B7" s="353" t="s">
        <v>14</v>
      </c>
      <c r="C7" s="357"/>
      <c r="D7" s="357"/>
      <c r="E7" s="353"/>
      <c r="F7" s="343">
        <f>+แนบ2!E19</f>
        <v>29400</v>
      </c>
      <c r="H7" s="341"/>
    </row>
    <row r="8" spans="1:6" ht="21" hidden="1">
      <c r="A8" s="354"/>
      <c r="B8" s="353" t="s">
        <v>15</v>
      </c>
      <c r="C8" s="357"/>
      <c r="D8" s="357"/>
      <c r="F8" s="358">
        <f>+แนบ2!E25</f>
        <v>0</v>
      </c>
    </row>
    <row r="9" spans="1:6" ht="21">
      <c r="A9" s="354"/>
      <c r="B9" s="353" t="s">
        <v>18</v>
      </c>
      <c r="C9" s="357"/>
      <c r="D9" s="357"/>
      <c r="F9" s="359">
        <f>+แนบ2!E38</f>
        <v>187700</v>
      </c>
    </row>
    <row r="10" spans="1:6" ht="21">
      <c r="A10" s="360"/>
      <c r="B10" s="353" t="s">
        <v>19</v>
      </c>
      <c r="F10" s="343">
        <f>+แนบ2!E44</f>
        <v>990200</v>
      </c>
    </row>
    <row r="11" spans="1:6" ht="21.75" thickBot="1">
      <c r="A11" s="360"/>
      <c r="B11" s="353"/>
      <c r="E11" s="357" t="s">
        <v>85</v>
      </c>
      <c r="F11" s="361">
        <f>SUM(F7:F10)</f>
        <v>1207300</v>
      </c>
    </row>
    <row r="12" spans="1:5" ht="21.75" thickTop="1">
      <c r="A12" s="354"/>
      <c r="B12" s="353"/>
      <c r="C12" s="357"/>
      <c r="D12" s="357"/>
      <c r="E12" s="357"/>
    </row>
    <row r="13" spans="1:6" ht="21">
      <c r="A13" s="354" t="s">
        <v>422</v>
      </c>
      <c r="B13" s="352"/>
      <c r="C13" s="352"/>
      <c r="D13" s="352"/>
      <c r="F13" s="342"/>
    </row>
    <row r="14" spans="1:6" ht="21">
      <c r="A14" s="355"/>
      <c r="B14" s="352"/>
      <c r="C14" s="352"/>
      <c r="D14" s="352"/>
      <c r="F14" s="356" t="s">
        <v>157</v>
      </c>
    </row>
    <row r="15" spans="1:6" ht="21">
      <c r="A15" s="360" t="s">
        <v>158</v>
      </c>
      <c r="B15" s="353"/>
      <c r="C15" s="357"/>
      <c r="D15" s="357"/>
      <c r="F15" s="359">
        <v>18128.47</v>
      </c>
    </row>
    <row r="16" spans="1:6" ht="21">
      <c r="A16" s="360" t="s">
        <v>161</v>
      </c>
      <c r="B16" s="353"/>
      <c r="E16" s="353"/>
      <c r="F16" s="343">
        <v>2900.02</v>
      </c>
    </row>
    <row r="17" spans="1:8" ht="21">
      <c r="A17" s="360" t="s">
        <v>159</v>
      </c>
      <c r="B17" s="353"/>
      <c r="C17" s="357"/>
      <c r="D17" s="357"/>
      <c r="E17" s="353"/>
      <c r="F17" s="343">
        <v>194469</v>
      </c>
      <c r="H17" s="341"/>
    </row>
    <row r="18" spans="1:6" ht="21">
      <c r="A18" s="360" t="s">
        <v>160</v>
      </c>
      <c r="B18" s="353"/>
      <c r="C18" s="357"/>
      <c r="D18" s="357"/>
      <c r="E18" s="353"/>
      <c r="F18" s="343">
        <v>32648</v>
      </c>
    </row>
    <row r="19" spans="1:6" ht="21">
      <c r="A19" s="360" t="s">
        <v>162</v>
      </c>
      <c r="B19" s="353"/>
      <c r="F19" s="359">
        <v>169156</v>
      </c>
    </row>
    <row r="20" spans="1:6" ht="21">
      <c r="A20" s="360" t="s">
        <v>387</v>
      </c>
      <c r="B20" s="353"/>
      <c r="E20" s="353"/>
      <c r="F20" s="343">
        <v>11700</v>
      </c>
    </row>
    <row r="21" spans="1:6" ht="21.75" thickBot="1">
      <c r="A21" s="360"/>
      <c r="B21" s="353"/>
      <c r="E21" s="357" t="s">
        <v>85</v>
      </c>
      <c r="F21" s="361">
        <f>SUM(F15:F20)</f>
        <v>429001.49</v>
      </c>
    </row>
    <row r="22" spans="1:9" s="343" customFormat="1" ht="21.75" thickTop="1">
      <c r="A22" s="360"/>
      <c r="B22" s="353"/>
      <c r="C22" s="199"/>
      <c r="D22" s="199"/>
      <c r="E22" s="199"/>
      <c r="H22" s="199"/>
      <c r="I22" s="341"/>
    </row>
    <row r="23" spans="1:9" s="343" customFormat="1" ht="21">
      <c r="A23" s="360"/>
      <c r="B23" s="353"/>
      <c r="C23" s="199"/>
      <c r="D23" s="199"/>
      <c r="E23" s="199"/>
      <c r="H23" s="199"/>
      <c r="I23" s="341"/>
    </row>
    <row r="24" spans="1:9" s="343" customFormat="1" ht="21">
      <c r="A24" s="360"/>
      <c r="B24" s="353"/>
      <c r="C24" s="199"/>
      <c r="D24" s="199"/>
      <c r="E24" s="199"/>
      <c r="H24" s="199"/>
      <c r="I24" s="341"/>
    </row>
    <row r="25" spans="1:2" ht="21">
      <c r="A25" s="360"/>
      <c r="B25" s="353"/>
    </row>
    <row r="26" spans="1:2" ht="21">
      <c r="A26" s="360"/>
      <c r="B26" s="353"/>
    </row>
    <row r="27" ht="21">
      <c r="A27" s="360"/>
    </row>
    <row r="28" ht="21">
      <c r="A28" s="360"/>
    </row>
  </sheetData>
  <sheetProtection/>
  <mergeCells count="3">
    <mergeCell ref="A1:F1"/>
    <mergeCell ref="A2:F2"/>
    <mergeCell ref="A3:F3"/>
  </mergeCells>
  <printOptions/>
  <pageMargins left="1.01" right="0.15748031496062992" top="0.7086614173228347" bottom="0" header="0.1574803149606299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45"/>
  <sheetViews>
    <sheetView zoomScalePageLayoutView="0" workbookViewId="0" topLeftCell="A1">
      <pane ySplit="7" topLeftCell="A8" activePane="bottomLeft" state="frozen"/>
      <selection pane="topLeft" activeCell="H39" sqref="H39"/>
      <selection pane="bottomLeft" activeCell="I39" sqref="I39"/>
    </sheetView>
  </sheetViews>
  <sheetFormatPr defaultColWidth="9.140625" defaultRowHeight="12.75"/>
  <cols>
    <col min="1" max="1" width="46.140625" style="171" customWidth="1"/>
    <col min="2" max="3" width="14.7109375" style="189" customWidth="1"/>
    <col min="4" max="5" width="14.57421875" style="189" bestFit="1" customWidth="1"/>
    <col min="6" max="6" width="13.7109375" style="171" bestFit="1" customWidth="1"/>
    <col min="7" max="7" width="9.140625" style="171" customWidth="1"/>
    <col min="8" max="9" width="12.421875" style="165" bestFit="1" customWidth="1"/>
    <col min="10" max="10" width="14.57421875" style="165" bestFit="1" customWidth="1"/>
    <col min="11" max="11" width="12.421875" style="165" bestFit="1" customWidth="1"/>
    <col min="12" max="12" width="14.140625" style="165" bestFit="1" customWidth="1"/>
    <col min="13" max="16384" width="9.140625" style="171" customWidth="1"/>
  </cols>
  <sheetData>
    <row r="1" spans="1:12" s="167" customFormat="1" ht="21">
      <c r="A1" s="423" t="s">
        <v>62</v>
      </c>
      <c r="B1" s="423"/>
      <c r="C1" s="423"/>
      <c r="D1" s="423"/>
      <c r="E1" s="423"/>
      <c r="F1" s="423"/>
      <c r="H1" s="168"/>
      <c r="I1" s="168"/>
      <c r="J1" s="168"/>
      <c r="K1" s="168"/>
      <c r="L1" s="168"/>
    </row>
    <row r="2" spans="1:12" s="167" customFormat="1" ht="21">
      <c r="A2" s="423" t="s">
        <v>163</v>
      </c>
      <c r="B2" s="423"/>
      <c r="C2" s="423"/>
      <c r="D2" s="423"/>
      <c r="E2" s="423"/>
      <c r="F2" s="423"/>
      <c r="H2" s="168"/>
      <c r="I2" s="168"/>
      <c r="J2" s="168"/>
      <c r="K2" s="168"/>
      <c r="L2" s="168"/>
    </row>
    <row r="3" spans="1:12" s="167" customFormat="1" ht="21">
      <c r="A3" s="423" t="str">
        <f>+'หมายเหตุ 1 รายรับจริง'!A4:G4</f>
        <v>ณ  วันที่  30  พฤศจิกายน  2558</v>
      </c>
      <c r="B3" s="423"/>
      <c r="C3" s="423"/>
      <c r="D3" s="423"/>
      <c r="E3" s="423"/>
      <c r="F3" s="423"/>
      <c r="H3" s="168"/>
      <c r="I3" s="168"/>
      <c r="J3" s="168"/>
      <c r="K3" s="168"/>
      <c r="L3" s="168"/>
    </row>
    <row r="4" spans="1:5" ht="21">
      <c r="A4" s="169" t="s">
        <v>164</v>
      </c>
      <c r="B4" s="170"/>
      <c r="C4" s="171"/>
      <c r="D4" s="171"/>
      <c r="E4" s="171"/>
    </row>
    <row r="5" spans="1:5" ht="9.75" customHeight="1">
      <c r="A5" s="166"/>
      <c r="B5" s="170"/>
      <c r="C5" s="171"/>
      <c r="D5" s="171"/>
      <c r="E5" s="171"/>
    </row>
    <row r="6" spans="1:6" ht="21">
      <c r="A6" s="172" t="s">
        <v>165</v>
      </c>
      <c r="B6" s="424" t="s">
        <v>166</v>
      </c>
      <c r="C6" s="424"/>
      <c r="D6" s="425" t="s">
        <v>167</v>
      </c>
      <c r="E6" s="173" t="s">
        <v>168</v>
      </c>
      <c r="F6" s="426" t="s">
        <v>169</v>
      </c>
    </row>
    <row r="7" spans="1:6" ht="21">
      <c r="A7" s="174" t="s">
        <v>170</v>
      </c>
      <c r="B7" s="173" t="s">
        <v>171</v>
      </c>
      <c r="C7" s="175" t="s">
        <v>172</v>
      </c>
      <c r="D7" s="425"/>
      <c r="E7" s="173" t="s">
        <v>413</v>
      </c>
      <c r="F7" s="426"/>
    </row>
    <row r="8" spans="1:6" ht="21">
      <c r="A8" s="176" t="s">
        <v>14</v>
      </c>
      <c r="B8" s="177"/>
      <c r="C8" s="177"/>
      <c r="D8" s="177"/>
      <c r="E8" s="177"/>
      <c r="F8" s="178"/>
    </row>
    <row r="9" spans="1:6" ht="21">
      <c r="A9" s="179" t="s">
        <v>173</v>
      </c>
      <c r="B9" s="180">
        <v>15286.5</v>
      </c>
      <c r="C9" s="180">
        <v>0</v>
      </c>
      <c r="D9" s="180">
        <v>15286.5</v>
      </c>
      <c r="E9" s="180">
        <f aca="true" t="shared" si="0" ref="E9:E18">+B9-D9</f>
        <v>0</v>
      </c>
      <c r="F9" s="181" t="s">
        <v>381</v>
      </c>
    </row>
    <row r="10" spans="1:6" ht="21">
      <c r="A10" s="179" t="s">
        <v>174</v>
      </c>
      <c r="B10" s="180">
        <v>4200</v>
      </c>
      <c r="C10" s="180">
        <v>0</v>
      </c>
      <c r="D10" s="180">
        <v>4200</v>
      </c>
      <c r="E10" s="180">
        <f t="shared" si="0"/>
        <v>0</v>
      </c>
      <c r="F10" s="181" t="s">
        <v>381</v>
      </c>
    </row>
    <row r="11" spans="1:6" ht="21">
      <c r="A11" s="179" t="s">
        <v>175</v>
      </c>
      <c r="B11" s="180">
        <v>7700</v>
      </c>
      <c r="C11" s="180">
        <v>0</v>
      </c>
      <c r="D11" s="180">
        <v>5950</v>
      </c>
      <c r="E11" s="180">
        <f t="shared" si="0"/>
        <v>1750</v>
      </c>
      <c r="F11" s="181" t="s">
        <v>382</v>
      </c>
    </row>
    <row r="12" spans="1:6" ht="21">
      <c r="A12" s="179" t="s">
        <v>176</v>
      </c>
      <c r="B12" s="180">
        <v>9000</v>
      </c>
      <c r="C12" s="180">
        <v>0</v>
      </c>
      <c r="D12" s="180">
        <v>6600</v>
      </c>
      <c r="E12" s="180">
        <f t="shared" si="0"/>
        <v>2400</v>
      </c>
      <c r="F12" s="181" t="s">
        <v>382</v>
      </c>
    </row>
    <row r="13" spans="1:6" ht="21">
      <c r="A13" s="179" t="s">
        <v>176</v>
      </c>
      <c r="B13" s="180">
        <v>10500</v>
      </c>
      <c r="C13" s="180">
        <v>0</v>
      </c>
      <c r="D13" s="180">
        <v>6650</v>
      </c>
      <c r="E13" s="180">
        <f t="shared" si="0"/>
        <v>3850</v>
      </c>
      <c r="F13" s="181" t="s">
        <v>382</v>
      </c>
    </row>
    <row r="14" spans="1:6" ht="21">
      <c r="A14" s="179" t="s">
        <v>177</v>
      </c>
      <c r="B14" s="180">
        <v>7700</v>
      </c>
      <c r="C14" s="180">
        <v>0</v>
      </c>
      <c r="D14" s="180">
        <v>4900</v>
      </c>
      <c r="E14" s="180">
        <f t="shared" si="0"/>
        <v>2800</v>
      </c>
      <c r="F14" s="181" t="s">
        <v>382</v>
      </c>
    </row>
    <row r="15" spans="1:6" ht="21">
      <c r="A15" s="179" t="s">
        <v>178</v>
      </c>
      <c r="B15" s="180">
        <v>7700</v>
      </c>
      <c r="C15" s="180">
        <v>0</v>
      </c>
      <c r="D15" s="180">
        <v>7700</v>
      </c>
      <c r="E15" s="180">
        <f t="shared" si="0"/>
        <v>0</v>
      </c>
      <c r="F15" s="181" t="s">
        <v>382</v>
      </c>
    </row>
    <row r="16" spans="1:6" ht="21">
      <c r="A16" s="182" t="s">
        <v>179</v>
      </c>
      <c r="B16" s="180">
        <v>9000</v>
      </c>
      <c r="C16" s="180">
        <v>0</v>
      </c>
      <c r="D16" s="180">
        <v>9000</v>
      </c>
      <c r="E16" s="180">
        <f t="shared" si="0"/>
        <v>0</v>
      </c>
      <c r="F16" s="181" t="s">
        <v>382</v>
      </c>
    </row>
    <row r="17" spans="1:6" ht="21">
      <c r="A17" s="179" t="s">
        <v>180</v>
      </c>
      <c r="B17" s="183">
        <v>8800</v>
      </c>
      <c r="C17" s="180">
        <v>0</v>
      </c>
      <c r="D17" s="180">
        <v>8800</v>
      </c>
      <c r="E17" s="183">
        <f t="shared" si="0"/>
        <v>0</v>
      </c>
      <c r="F17" s="181" t="s">
        <v>382</v>
      </c>
    </row>
    <row r="18" spans="1:6" ht="21">
      <c r="A18" s="179" t="s">
        <v>181</v>
      </c>
      <c r="B18" s="183">
        <f>9300+9300</f>
        <v>18600</v>
      </c>
      <c r="C18" s="180">
        <v>0</v>
      </c>
      <c r="D18" s="180">
        <v>0</v>
      </c>
      <c r="E18" s="183">
        <f t="shared" si="0"/>
        <v>18600</v>
      </c>
      <c r="F18" s="181"/>
    </row>
    <row r="19" spans="1:12" s="167" customFormat="1" ht="21">
      <c r="A19" s="184" t="s">
        <v>85</v>
      </c>
      <c r="B19" s="185">
        <f>SUM(B9:B18)</f>
        <v>98486.5</v>
      </c>
      <c r="C19" s="185">
        <f>SUM(C9:C18)</f>
        <v>0</v>
      </c>
      <c r="D19" s="185">
        <f>SUM(D9:D18)</f>
        <v>69086.5</v>
      </c>
      <c r="E19" s="185">
        <f>SUM(E9:E18)</f>
        <v>29400</v>
      </c>
      <c r="F19" s="186"/>
      <c r="L19" s="168"/>
    </row>
    <row r="20" spans="1:6" ht="21">
      <c r="A20" s="176" t="s">
        <v>15</v>
      </c>
      <c r="B20" s="177"/>
      <c r="C20" s="177"/>
      <c r="D20" s="177"/>
      <c r="E20" s="177"/>
      <c r="F20" s="178"/>
    </row>
    <row r="21" spans="1:6" ht="21">
      <c r="A21" s="179" t="s">
        <v>182</v>
      </c>
      <c r="B21" s="180">
        <f>142878.12+136074.4+400344.12</f>
        <v>679296.64</v>
      </c>
      <c r="C21" s="180">
        <v>0</v>
      </c>
      <c r="D21" s="180">
        <v>679296.64</v>
      </c>
      <c r="E21" s="180">
        <f>+B21-D21</f>
        <v>0</v>
      </c>
      <c r="F21" s="181" t="s">
        <v>381</v>
      </c>
    </row>
    <row r="22" spans="1:6" ht="21">
      <c r="A22" s="179" t="s">
        <v>183</v>
      </c>
      <c r="B22" s="180">
        <f>4606+13551.3</f>
        <v>18157.3</v>
      </c>
      <c r="C22" s="180">
        <v>0</v>
      </c>
      <c r="D22" s="180">
        <v>18157.3</v>
      </c>
      <c r="E22" s="180">
        <f>+B22-D22</f>
        <v>0</v>
      </c>
      <c r="F22" s="181" t="s">
        <v>381</v>
      </c>
    </row>
    <row r="23" spans="1:6" ht="21">
      <c r="A23" s="179" t="s">
        <v>184</v>
      </c>
      <c r="B23" s="183">
        <v>300</v>
      </c>
      <c r="C23" s="180">
        <v>0</v>
      </c>
      <c r="D23" s="180">
        <v>300</v>
      </c>
      <c r="E23" s="180">
        <f>+B23-D23</f>
        <v>0</v>
      </c>
      <c r="F23" s="181" t="s">
        <v>381</v>
      </c>
    </row>
    <row r="24" spans="1:6" ht="21">
      <c r="A24" s="187" t="s">
        <v>185</v>
      </c>
      <c r="B24" s="183">
        <v>179850</v>
      </c>
      <c r="C24" s="180">
        <v>0</v>
      </c>
      <c r="D24" s="180">
        <v>179850</v>
      </c>
      <c r="E24" s="180">
        <f>+B24-D24</f>
        <v>0</v>
      </c>
      <c r="F24" s="181" t="s">
        <v>380</v>
      </c>
    </row>
    <row r="25" spans="1:12" s="167" customFormat="1" ht="21">
      <c r="A25" s="184" t="s">
        <v>85</v>
      </c>
      <c r="B25" s="185">
        <f>SUM(B21:B24)</f>
        <v>877603.9400000001</v>
      </c>
      <c r="C25" s="185">
        <f>SUM(C21:C24)</f>
        <v>0</v>
      </c>
      <c r="D25" s="185">
        <f>SUM(D21:D24)</f>
        <v>877603.9400000001</v>
      </c>
      <c r="E25" s="185">
        <f>SUM(E21:E24)</f>
        <v>0</v>
      </c>
      <c r="F25" s="186"/>
      <c r="H25" s="168"/>
      <c r="I25" s="168"/>
      <c r="J25" s="168"/>
      <c r="K25" s="168"/>
      <c r="L25" s="168"/>
    </row>
    <row r="26" spans="1:6" ht="21">
      <c r="A26" s="176" t="s">
        <v>18</v>
      </c>
      <c r="B26" s="177"/>
      <c r="C26" s="177"/>
      <c r="D26" s="177"/>
      <c r="E26" s="177"/>
      <c r="F26" s="178"/>
    </row>
    <row r="27" spans="1:6" ht="21">
      <c r="A27" s="179" t="s">
        <v>186</v>
      </c>
      <c r="B27" s="180">
        <v>59500</v>
      </c>
      <c r="C27" s="180">
        <v>0</v>
      </c>
      <c r="D27" s="180">
        <v>59500</v>
      </c>
      <c r="E27" s="180">
        <f>+B27-D27</f>
        <v>0</v>
      </c>
      <c r="F27" s="181" t="s">
        <v>420</v>
      </c>
    </row>
    <row r="28" spans="1:6" ht="21">
      <c r="A28" s="179" t="s">
        <v>187</v>
      </c>
      <c r="B28" s="180">
        <v>49500</v>
      </c>
      <c r="C28" s="180">
        <v>0</v>
      </c>
      <c r="D28" s="180">
        <v>49500</v>
      </c>
      <c r="E28" s="180">
        <f>+B28-D28</f>
        <v>0</v>
      </c>
      <c r="F28" s="181" t="s">
        <v>420</v>
      </c>
    </row>
    <row r="29" spans="1:6" ht="21">
      <c r="A29" s="179" t="s">
        <v>188</v>
      </c>
      <c r="B29" s="180">
        <v>12000</v>
      </c>
      <c r="C29" s="180">
        <v>0</v>
      </c>
      <c r="D29" s="180">
        <v>12000</v>
      </c>
      <c r="E29" s="180">
        <f>+B29-D29</f>
        <v>0</v>
      </c>
      <c r="F29" s="181" t="s">
        <v>380</v>
      </c>
    </row>
    <row r="30" spans="1:6" ht="21">
      <c r="A30" s="187" t="s">
        <v>189</v>
      </c>
      <c r="B30" s="183"/>
      <c r="C30" s="183"/>
      <c r="D30" s="183"/>
      <c r="E30" s="180"/>
      <c r="F30" s="181"/>
    </row>
    <row r="31" spans="1:6" ht="21">
      <c r="A31" s="188" t="s">
        <v>190</v>
      </c>
      <c r="B31" s="183">
        <v>898000</v>
      </c>
      <c r="C31" s="183">
        <v>0</v>
      </c>
      <c r="D31" s="183">
        <v>898000</v>
      </c>
      <c r="E31" s="180">
        <f>+B31-D31</f>
        <v>0</v>
      </c>
      <c r="F31" s="181" t="s">
        <v>419</v>
      </c>
    </row>
    <row r="32" spans="1:6" ht="21">
      <c r="A32" s="187" t="s">
        <v>191</v>
      </c>
      <c r="B32" s="183">
        <v>0</v>
      </c>
      <c r="C32" s="183">
        <v>25000</v>
      </c>
      <c r="D32" s="183">
        <v>0</v>
      </c>
      <c r="E32" s="183">
        <f aca="true" t="shared" si="1" ref="E32:E37">+C32-D32</f>
        <v>25000</v>
      </c>
      <c r="F32" s="181"/>
    </row>
    <row r="33" spans="1:6" ht="21">
      <c r="A33" s="187" t="s">
        <v>192</v>
      </c>
      <c r="B33" s="183">
        <v>0</v>
      </c>
      <c r="C33" s="183">
        <v>52000</v>
      </c>
      <c r="D33" s="183">
        <v>0</v>
      </c>
      <c r="E33" s="183">
        <f t="shared" si="1"/>
        <v>52000</v>
      </c>
      <c r="F33" s="181"/>
    </row>
    <row r="34" spans="1:6" ht="21">
      <c r="A34" s="187" t="s">
        <v>192</v>
      </c>
      <c r="B34" s="183">
        <v>0</v>
      </c>
      <c r="C34" s="183">
        <v>62000</v>
      </c>
      <c r="D34" s="183">
        <v>0</v>
      </c>
      <c r="E34" s="183">
        <f t="shared" si="1"/>
        <v>62000</v>
      </c>
      <c r="F34" s="181"/>
    </row>
    <row r="35" spans="1:6" ht="21">
      <c r="A35" s="187" t="s">
        <v>193</v>
      </c>
      <c r="B35" s="183">
        <v>0</v>
      </c>
      <c r="C35" s="183">
        <v>22000</v>
      </c>
      <c r="D35" s="183">
        <v>0</v>
      </c>
      <c r="E35" s="183">
        <f t="shared" si="1"/>
        <v>22000</v>
      </c>
      <c r="F35" s="181"/>
    </row>
    <row r="36" spans="1:6" ht="21">
      <c r="A36" s="187" t="s">
        <v>194</v>
      </c>
      <c r="B36" s="183">
        <v>0</v>
      </c>
      <c r="C36" s="183">
        <v>25000</v>
      </c>
      <c r="D36" s="183">
        <v>0</v>
      </c>
      <c r="E36" s="183">
        <f t="shared" si="1"/>
        <v>25000</v>
      </c>
      <c r="F36" s="181"/>
    </row>
    <row r="37" spans="1:6" ht="21">
      <c r="A37" s="187" t="s">
        <v>195</v>
      </c>
      <c r="B37" s="183">
        <v>0</v>
      </c>
      <c r="C37" s="183">
        <v>1700</v>
      </c>
      <c r="D37" s="183">
        <v>0</v>
      </c>
      <c r="E37" s="183">
        <f t="shared" si="1"/>
        <v>1700</v>
      </c>
      <c r="F37" s="181"/>
    </row>
    <row r="38" spans="1:12" s="167" customFormat="1" ht="21">
      <c r="A38" s="184" t="s">
        <v>85</v>
      </c>
      <c r="B38" s="185">
        <f>SUM(B27:B37)</f>
        <v>1019000</v>
      </c>
      <c r="C38" s="185">
        <f>SUM(C27:C37)</f>
        <v>187700</v>
      </c>
      <c r="D38" s="185">
        <f>SUM(D27:D37)</f>
        <v>1019000</v>
      </c>
      <c r="E38" s="185">
        <f>SUM(E27:E37)</f>
        <v>187700</v>
      </c>
      <c r="F38" s="186"/>
      <c r="H38" s="168"/>
      <c r="I38" s="168"/>
      <c r="J38" s="168"/>
      <c r="K38" s="168"/>
      <c r="L38" s="168"/>
    </row>
    <row r="39" spans="1:6" ht="21">
      <c r="A39" s="176" t="s">
        <v>19</v>
      </c>
      <c r="B39" s="177"/>
      <c r="C39" s="177"/>
      <c r="D39" s="177"/>
      <c r="E39" s="177"/>
      <c r="F39" s="178"/>
    </row>
    <row r="40" spans="1:6" ht="21">
      <c r="A40" s="179" t="s">
        <v>196</v>
      </c>
      <c r="B40" s="180">
        <v>855000</v>
      </c>
      <c r="C40" s="180">
        <v>0</v>
      </c>
      <c r="D40" s="180">
        <v>855000</v>
      </c>
      <c r="E40" s="180">
        <f>+B40-D40</f>
        <v>0</v>
      </c>
      <c r="F40" s="181" t="s">
        <v>419</v>
      </c>
    </row>
    <row r="41" spans="1:6" ht="21">
      <c r="A41" s="179" t="s">
        <v>197</v>
      </c>
      <c r="B41" s="183">
        <v>0</v>
      </c>
      <c r="C41" s="183">
        <v>222200</v>
      </c>
      <c r="D41" s="183">
        <v>0</v>
      </c>
      <c r="E41" s="183">
        <f>+C41-D41</f>
        <v>222200</v>
      </c>
      <c r="F41" s="181"/>
    </row>
    <row r="42" spans="1:6" ht="21">
      <c r="A42" s="179" t="s">
        <v>198</v>
      </c>
      <c r="B42" s="183">
        <v>0</v>
      </c>
      <c r="C42" s="183">
        <v>768000</v>
      </c>
      <c r="D42" s="183">
        <v>0</v>
      </c>
      <c r="E42" s="183">
        <f>+C42-D42</f>
        <v>768000</v>
      </c>
      <c r="F42" s="181"/>
    </row>
    <row r="43" spans="1:6" ht="21">
      <c r="A43" s="187" t="s">
        <v>199</v>
      </c>
      <c r="B43" s="183"/>
      <c r="C43" s="183"/>
      <c r="D43" s="183"/>
      <c r="E43" s="183"/>
      <c r="F43" s="181"/>
    </row>
    <row r="44" spans="1:12" s="167" customFormat="1" ht="21">
      <c r="A44" s="184" t="s">
        <v>85</v>
      </c>
      <c r="B44" s="185">
        <f>SUM(B40:B43)</f>
        <v>855000</v>
      </c>
      <c r="C44" s="185">
        <f>SUM(C40:C43)</f>
        <v>990200</v>
      </c>
      <c r="D44" s="185">
        <f>SUM(D40:D43)</f>
        <v>855000</v>
      </c>
      <c r="E44" s="185">
        <f>SUM(E40:E43)</f>
        <v>990200</v>
      </c>
      <c r="F44" s="186"/>
      <c r="H44" s="168"/>
      <c r="I44" s="168"/>
      <c r="J44" s="168"/>
      <c r="K44" s="168"/>
      <c r="L44" s="168"/>
    </row>
    <row r="45" spans="1:12" s="167" customFormat="1" ht="21">
      <c r="A45" s="184" t="s">
        <v>200</v>
      </c>
      <c r="B45" s="185">
        <f>+B19+B25+B38+B44</f>
        <v>2850090.44</v>
      </c>
      <c r="C45" s="185">
        <f>+C19+C25+C38+C44</f>
        <v>1177900</v>
      </c>
      <c r="D45" s="185">
        <f>+D19+D25+D38+D44</f>
        <v>2820690.44</v>
      </c>
      <c r="E45" s="185">
        <f>+E19+E25+E38+E44</f>
        <v>1207300</v>
      </c>
      <c r="F45" s="186"/>
      <c r="H45" s="168"/>
      <c r="I45" s="168"/>
      <c r="J45" s="168"/>
      <c r="K45" s="168"/>
      <c r="L45" s="168"/>
    </row>
  </sheetData>
  <sheetProtection/>
  <mergeCells count="6">
    <mergeCell ref="A1:F1"/>
    <mergeCell ref="A2:F2"/>
    <mergeCell ref="A3:F3"/>
    <mergeCell ref="B6:C6"/>
    <mergeCell ref="D6:D7"/>
    <mergeCell ref="F6:F7"/>
  </mergeCells>
  <printOptions/>
  <pageMargins left="0.39" right="0.11811023622047245" top="0.4724409448818898" bottom="0.2362204724409449" header="0.15748031496062992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5"/>
  <sheetViews>
    <sheetView zoomScalePageLayoutView="0" workbookViewId="0" topLeftCell="A1">
      <selection activeCell="J70" sqref="J70"/>
    </sheetView>
  </sheetViews>
  <sheetFormatPr defaultColWidth="9.140625" defaultRowHeight="12.75"/>
  <cols>
    <col min="1" max="2" width="12.57421875" style="190" customWidth="1"/>
    <col min="3" max="3" width="13.8515625" style="190" customWidth="1"/>
    <col min="4" max="4" width="14.28125" style="190" customWidth="1"/>
    <col min="5" max="5" width="46.00390625" style="1" customWidth="1"/>
    <col min="6" max="6" width="7.8515625" style="1" bestFit="1" customWidth="1"/>
    <col min="7" max="7" width="13.8515625" style="190" bestFit="1" customWidth="1"/>
    <col min="8" max="8" width="10.7109375" style="190" customWidth="1"/>
    <col min="9" max="9" width="11.7109375" style="42" bestFit="1" customWidth="1"/>
    <col min="10" max="10" width="10.8515625" style="42" bestFit="1" customWidth="1"/>
    <col min="11" max="11" width="9.57421875" style="1" bestFit="1" customWidth="1"/>
    <col min="12" max="16384" width="9.140625" style="1" customWidth="1"/>
  </cols>
  <sheetData>
    <row r="1" ht="23.25"/>
    <row r="2" spans="1:7" ht="23.25">
      <c r="A2" s="436" t="s">
        <v>62</v>
      </c>
      <c r="B2" s="436"/>
      <c r="C2" s="436"/>
      <c r="D2" s="436"/>
      <c r="E2" s="436"/>
      <c r="F2" s="436"/>
      <c r="G2" s="436"/>
    </row>
    <row r="3" spans="1:8" ht="23.25">
      <c r="A3" s="412" t="s">
        <v>399</v>
      </c>
      <c r="B3" s="412"/>
      <c r="C3" s="412"/>
      <c r="D3" s="412"/>
      <c r="E3" s="412"/>
      <c r="F3" s="412"/>
      <c r="G3" s="412"/>
      <c r="H3" s="2"/>
    </row>
    <row r="4" spans="1:8" ht="23.25">
      <c r="A4" s="437" t="s">
        <v>414</v>
      </c>
      <c r="B4" s="437"/>
      <c r="C4" s="437"/>
      <c r="D4" s="437"/>
      <c r="E4" s="437"/>
      <c r="F4" s="437"/>
      <c r="G4" s="437"/>
      <c r="H4" s="191"/>
    </row>
    <row r="5" spans="1:8" ht="23.25">
      <c r="A5" s="248"/>
      <c r="B5" s="248"/>
      <c r="C5" s="248"/>
      <c r="D5" s="248"/>
      <c r="E5" s="191"/>
      <c r="F5" s="191"/>
      <c r="G5" s="248"/>
      <c r="H5" s="248"/>
    </row>
    <row r="6" spans="1:8" ht="23.25">
      <c r="A6" s="427" t="s">
        <v>201</v>
      </c>
      <c r="B6" s="428"/>
      <c r="C6" s="428"/>
      <c r="D6" s="429"/>
      <c r="E6" s="430" t="s">
        <v>63</v>
      </c>
      <c r="F6" s="433" t="s">
        <v>394</v>
      </c>
      <c r="G6" s="250" t="s">
        <v>157</v>
      </c>
      <c r="H6" s="251"/>
    </row>
    <row r="7" spans="1:8" ht="23.25">
      <c r="A7" s="252" t="s">
        <v>77</v>
      </c>
      <c r="B7" s="253" t="s">
        <v>390</v>
      </c>
      <c r="C7" s="253" t="s">
        <v>85</v>
      </c>
      <c r="D7" s="253" t="s">
        <v>203</v>
      </c>
      <c r="E7" s="431"/>
      <c r="F7" s="434"/>
      <c r="G7" s="254" t="s">
        <v>230</v>
      </c>
      <c r="H7" s="255"/>
    </row>
    <row r="8" spans="1:8" ht="23.25">
      <c r="A8" s="254" t="s">
        <v>205</v>
      </c>
      <c r="B8" s="253" t="s">
        <v>391</v>
      </c>
      <c r="C8" s="253" t="s">
        <v>393</v>
      </c>
      <c r="D8" s="253" t="s">
        <v>393</v>
      </c>
      <c r="E8" s="431"/>
      <c r="F8" s="434"/>
      <c r="G8" s="254" t="s">
        <v>395</v>
      </c>
      <c r="H8" s="255"/>
    </row>
    <row r="9" spans="1:8" ht="23.25">
      <c r="A9" s="256"/>
      <c r="B9" s="256" t="s">
        <v>392</v>
      </c>
      <c r="C9" s="256"/>
      <c r="D9" s="256"/>
      <c r="E9" s="432"/>
      <c r="F9" s="435"/>
      <c r="G9" s="257" t="s">
        <v>205</v>
      </c>
      <c r="H9" s="255"/>
    </row>
    <row r="10" spans="1:8" ht="23.25">
      <c r="A10" s="258"/>
      <c r="B10" s="258"/>
      <c r="C10" s="258"/>
      <c r="D10" s="258">
        <v>44336081.71</v>
      </c>
      <c r="E10" s="259" t="s">
        <v>206</v>
      </c>
      <c r="F10" s="260"/>
      <c r="G10" s="258">
        <v>42536257.41</v>
      </c>
      <c r="H10" s="261"/>
    </row>
    <row r="11" spans="1:8" ht="23.25">
      <c r="A11" s="262"/>
      <c r="B11" s="262"/>
      <c r="C11" s="262"/>
      <c r="D11" s="262"/>
      <c r="E11" s="263" t="s">
        <v>398</v>
      </c>
      <c r="F11" s="264"/>
      <c r="G11" s="262"/>
      <c r="H11" s="261"/>
    </row>
    <row r="12" spans="1:8" ht="23.25">
      <c r="A12" s="265">
        <v>240000</v>
      </c>
      <c r="B12" s="265"/>
      <c r="C12" s="265">
        <f>+A12+B12</f>
        <v>240000</v>
      </c>
      <c r="D12" s="262">
        <f>501.18+17053.04</f>
        <v>17554.22</v>
      </c>
      <c r="E12" s="266" t="s">
        <v>207</v>
      </c>
      <c r="F12" s="267">
        <v>411000</v>
      </c>
      <c r="G12" s="268">
        <f>16250+803.04</f>
        <v>17053.04</v>
      </c>
      <c r="H12" s="261"/>
    </row>
    <row r="13" spans="1:8" ht="23.25">
      <c r="A13" s="265">
        <v>137000</v>
      </c>
      <c r="B13" s="265"/>
      <c r="C13" s="265">
        <f aca="true" t="shared" si="0" ref="C13:C26">+A13+B13</f>
        <v>137000</v>
      </c>
      <c r="D13" s="268">
        <f>13950+22980</f>
        <v>36930</v>
      </c>
      <c r="E13" s="266" t="s">
        <v>208</v>
      </c>
      <c r="F13" s="269">
        <v>412000</v>
      </c>
      <c r="G13" s="268">
        <f>9760+20+50+8350+4300+500</f>
        <v>22980</v>
      </c>
      <c r="H13" s="270"/>
    </row>
    <row r="14" spans="1:8" ht="23.25">
      <c r="A14" s="265">
        <v>441000</v>
      </c>
      <c r="B14" s="265"/>
      <c r="C14" s="265">
        <f t="shared" si="0"/>
        <v>441000</v>
      </c>
      <c r="D14" s="268">
        <v>107043.61</v>
      </c>
      <c r="E14" s="266" t="s">
        <v>209</v>
      </c>
      <c r="F14" s="269">
        <v>413000</v>
      </c>
      <c r="G14" s="268">
        <f>107043.61</f>
        <v>107043.61</v>
      </c>
      <c r="H14" s="271"/>
    </row>
    <row r="15" spans="1:8" ht="23.25">
      <c r="A15" s="265">
        <v>410000</v>
      </c>
      <c r="B15" s="265"/>
      <c r="C15" s="265">
        <f t="shared" si="0"/>
        <v>410000</v>
      </c>
      <c r="D15" s="265">
        <f>35641+45189</f>
        <v>80830</v>
      </c>
      <c r="E15" s="266" t="s">
        <v>28</v>
      </c>
      <c r="F15" s="272">
        <v>414000</v>
      </c>
      <c r="G15" s="265">
        <f>42639+2550</f>
        <v>45189</v>
      </c>
      <c r="H15" s="271"/>
    </row>
    <row r="16" spans="1:8" ht="23.25">
      <c r="A16" s="265">
        <v>52000</v>
      </c>
      <c r="B16" s="265"/>
      <c r="C16" s="265">
        <f t="shared" si="0"/>
        <v>52000</v>
      </c>
      <c r="D16" s="275">
        <v>0</v>
      </c>
      <c r="E16" s="266" t="s">
        <v>210</v>
      </c>
      <c r="F16" s="267">
        <v>415000</v>
      </c>
      <c r="G16" s="273">
        <v>0</v>
      </c>
      <c r="H16" s="270"/>
    </row>
    <row r="17" spans="1:8" ht="23.25">
      <c r="A17" s="274">
        <v>10000</v>
      </c>
      <c r="B17" s="274"/>
      <c r="C17" s="265">
        <f t="shared" si="0"/>
        <v>10000</v>
      </c>
      <c r="D17" s="275">
        <v>0</v>
      </c>
      <c r="E17" s="276" t="s">
        <v>211</v>
      </c>
      <c r="F17" s="277">
        <v>416000</v>
      </c>
      <c r="G17" s="273">
        <v>0</v>
      </c>
      <c r="H17" s="270"/>
    </row>
    <row r="18" spans="1:8" ht="23.25">
      <c r="A18" s="265">
        <v>15710000</v>
      </c>
      <c r="B18" s="265"/>
      <c r="C18" s="265">
        <f t="shared" si="0"/>
        <v>15710000</v>
      </c>
      <c r="D18" s="265">
        <f>1282800.03+1488217.74</f>
        <v>2771017.77</v>
      </c>
      <c r="E18" s="276" t="s">
        <v>212</v>
      </c>
      <c r="F18" s="267">
        <v>421000</v>
      </c>
      <c r="G18" s="265">
        <f>649005.7+263087.29+122874.86+258923.89+194326</f>
        <v>1488217.74</v>
      </c>
      <c r="H18" s="271"/>
    </row>
    <row r="19" spans="1:8" ht="23.25">
      <c r="A19" s="265">
        <v>11000000</v>
      </c>
      <c r="B19" s="265"/>
      <c r="C19" s="265">
        <f t="shared" si="0"/>
        <v>11000000</v>
      </c>
      <c r="D19" s="268">
        <v>2018826</v>
      </c>
      <c r="E19" s="276" t="s">
        <v>144</v>
      </c>
      <c r="F19" s="267">
        <v>431002</v>
      </c>
      <c r="G19" s="265">
        <v>2018826</v>
      </c>
      <c r="H19" s="271"/>
    </row>
    <row r="20" spans="1:8" ht="23.25">
      <c r="A20" s="275"/>
      <c r="B20" s="275"/>
      <c r="C20" s="308">
        <f t="shared" si="0"/>
        <v>0</v>
      </c>
      <c r="D20" s="265">
        <v>1421132</v>
      </c>
      <c r="E20" s="276" t="s">
        <v>213</v>
      </c>
      <c r="F20" s="272">
        <v>431002</v>
      </c>
      <c r="G20" s="265">
        <f>9000+268132+1057000+12000+75000</f>
        <v>1421132</v>
      </c>
      <c r="H20" s="270"/>
    </row>
    <row r="21" spans="1:8" ht="23.25">
      <c r="A21" s="275"/>
      <c r="B21" s="275"/>
      <c r="C21" s="308">
        <f t="shared" si="0"/>
        <v>0</v>
      </c>
      <c r="D21" s="308">
        <v>0</v>
      </c>
      <c r="E21" s="276" t="s">
        <v>214</v>
      </c>
      <c r="F21" s="272"/>
      <c r="G21" s="275">
        <v>0</v>
      </c>
      <c r="H21" s="270"/>
    </row>
    <row r="22" spans="1:8" ht="23.25">
      <c r="A22" s="275"/>
      <c r="B22" s="275">
        <v>2058000</v>
      </c>
      <c r="C22" s="308">
        <f t="shared" si="0"/>
        <v>2058000</v>
      </c>
      <c r="D22" s="265">
        <v>2058000</v>
      </c>
      <c r="E22" s="276" t="s">
        <v>53</v>
      </c>
      <c r="F22" s="272">
        <v>441001</v>
      </c>
      <c r="G22" s="265">
        <v>2058000</v>
      </c>
      <c r="H22" s="270"/>
    </row>
    <row r="23" spans="1:8" ht="23.25">
      <c r="A23" s="275"/>
      <c r="B23" s="275">
        <v>261600</v>
      </c>
      <c r="C23" s="308">
        <f t="shared" si="0"/>
        <v>261600</v>
      </c>
      <c r="D23" s="265">
        <v>261600</v>
      </c>
      <c r="E23" s="276" t="s">
        <v>388</v>
      </c>
      <c r="F23" s="272">
        <v>441001</v>
      </c>
      <c r="G23" s="265">
        <v>261600</v>
      </c>
      <c r="H23" s="270"/>
    </row>
    <row r="24" spans="1:8" ht="23.25">
      <c r="A24" s="275"/>
      <c r="B24" s="275">
        <v>1090</v>
      </c>
      <c r="C24" s="308">
        <f t="shared" si="0"/>
        <v>1090</v>
      </c>
      <c r="D24" s="268">
        <f>1090+292320</f>
        <v>293410</v>
      </c>
      <c r="E24" s="396" t="s">
        <v>389</v>
      </c>
      <c r="F24" s="272">
        <v>441001</v>
      </c>
      <c r="G24" s="265">
        <f>220500+68400+3420</f>
        <v>292320</v>
      </c>
      <c r="H24" s="270"/>
    </row>
    <row r="25" spans="1:8" ht="23.25">
      <c r="A25" s="275"/>
      <c r="B25" s="275">
        <v>114800</v>
      </c>
      <c r="C25" s="308">
        <f t="shared" si="0"/>
        <v>114800</v>
      </c>
      <c r="D25" s="268">
        <v>114800</v>
      </c>
      <c r="E25" s="276" t="s">
        <v>54</v>
      </c>
      <c r="F25" s="272">
        <v>441001</v>
      </c>
      <c r="G25" s="265">
        <v>114800</v>
      </c>
      <c r="H25" s="270"/>
    </row>
    <row r="26" spans="1:8" ht="23.25">
      <c r="A26" s="275"/>
      <c r="B26" s="275">
        <v>50000</v>
      </c>
      <c r="C26" s="308">
        <f t="shared" si="0"/>
        <v>50000</v>
      </c>
      <c r="D26" s="268">
        <v>50000</v>
      </c>
      <c r="E26" s="396" t="s">
        <v>435</v>
      </c>
      <c r="F26" s="272">
        <v>441001</v>
      </c>
      <c r="G26" s="265">
        <v>50000</v>
      </c>
      <c r="H26" s="270"/>
    </row>
    <row r="27" spans="1:8" ht="23.25">
      <c r="A27" s="275"/>
      <c r="B27" s="275"/>
      <c r="C27" s="275"/>
      <c r="D27" s="268"/>
      <c r="E27" s="28"/>
      <c r="F27" s="272"/>
      <c r="G27" s="265"/>
      <c r="H27" s="270"/>
    </row>
    <row r="28" spans="1:8" ht="24" thickBot="1">
      <c r="A28" s="278">
        <f>SUM(A12:A24)</f>
        <v>28000000</v>
      </c>
      <c r="B28" s="278">
        <f>SUM(B12:B26)</f>
        <v>2485490</v>
      </c>
      <c r="C28" s="278">
        <f>SUM(C12:C26)</f>
        <v>30485490</v>
      </c>
      <c r="D28" s="278">
        <f>SUM(D12:D27)</f>
        <v>9231143.6</v>
      </c>
      <c r="E28" s="276"/>
      <c r="F28" s="279"/>
      <c r="G28" s="280">
        <f>SUM(G12:G27)</f>
        <v>7897161.39</v>
      </c>
      <c r="H28" s="261"/>
    </row>
    <row r="29" spans="1:8" ht="24" thickTop="1">
      <c r="A29" s="271"/>
      <c r="B29" s="271"/>
      <c r="C29" s="271"/>
      <c r="D29" s="265"/>
      <c r="E29" s="276"/>
      <c r="F29" s="279"/>
      <c r="G29" s="262"/>
      <c r="H29" s="261"/>
    </row>
    <row r="30" spans="1:8" ht="23.25">
      <c r="A30" s="261"/>
      <c r="B30" s="261"/>
      <c r="C30" s="261"/>
      <c r="D30" s="308">
        <v>0</v>
      </c>
      <c r="E30" s="276" t="s">
        <v>2</v>
      </c>
      <c r="F30" s="281" t="s">
        <v>40</v>
      </c>
      <c r="G30" s="308">
        <v>0</v>
      </c>
      <c r="H30" s="282"/>
    </row>
    <row r="31" spans="1:8" ht="23.25">
      <c r="A31" s="261"/>
      <c r="B31" s="261"/>
      <c r="C31" s="261"/>
      <c r="D31" s="265">
        <f>21800+898000</f>
        <v>919800</v>
      </c>
      <c r="E31" s="276" t="s">
        <v>4</v>
      </c>
      <c r="F31" s="281" t="s">
        <v>41</v>
      </c>
      <c r="G31" s="265">
        <v>898000</v>
      </c>
      <c r="H31" s="282"/>
    </row>
    <row r="32" spans="1:8" ht="23.25">
      <c r="A32" s="261"/>
      <c r="B32" s="261"/>
      <c r="C32" s="261"/>
      <c r="D32" s="308">
        <v>0</v>
      </c>
      <c r="E32" s="276" t="s">
        <v>42</v>
      </c>
      <c r="F32" s="281" t="s">
        <v>43</v>
      </c>
      <c r="G32" s="273">
        <v>0</v>
      </c>
      <c r="H32" s="282"/>
    </row>
    <row r="33" spans="1:8" ht="23.25">
      <c r="A33" s="261"/>
      <c r="B33" s="261"/>
      <c r="C33" s="261"/>
      <c r="D33" s="265">
        <f>86.06+333.34</f>
        <v>419.4</v>
      </c>
      <c r="E33" s="276" t="s">
        <v>44</v>
      </c>
      <c r="F33" s="281" t="s">
        <v>45</v>
      </c>
      <c r="G33" s="265">
        <v>333.34</v>
      </c>
      <c r="H33" s="282"/>
    </row>
    <row r="34" spans="1:8" ht="23.25">
      <c r="A34" s="261"/>
      <c r="B34" s="261"/>
      <c r="C34" s="261"/>
      <c r="D34" s="265">
        <f>53324+20108</f>
        <v>73432</v>
      </c>
      <c r="E34" s="276" t="s">
        <v>1</v>
      </c>
      <c r="F34" s="281" t="s">
        <v>46</v>
      </c>
      <c r="G34" s="265">
        <v>20108</v>
      </c>
      <c r="H34" s="282"/>
    </row>
    <row r="35" spans="1:8" ht="23.25">
      <c r="A35" s="261"/>
      <c r="B35" s="261"/>
      <c r="C35" s="261"/>
      <c r="D35" s="308">
        <v>0</v>
      </c>
      <c r="E35" s="276" t="s">
        <v>9</v>
      </c>
      <c r="F35" s="272">
        <v>113700</v>
      </c>
      <c r="G35" s="275">
        <v>0</v>
      </c>
      <c r="H35" s="271"/>
    </row>
    <row r="36" spans="1:8" ht="23.25">
      <c r="A36" s="261"/>
      <c r="B36" s="261"/>
      <c r="C36" s="261"/>
      <c r="D36" s="265">
        <v>500</v>
      </c>
      <c r="E36" s="276" t="s">
        <v>3</v>
      </c>
      <c r="F36" s="272">
        <v>190001</v>
      </c>
      <c r="G36" s="275">
        <v>0</v>
      </c>
      <c r="H36" s="271"/>
    </row>
    <row r="37" spans="1:8" ht="23.25">
      <c r="A37" s="261"/>
      <c r="B37" s="261"/>
      <c r="C37" s="261"/>
      <c r="D37" s="265">
        <f>4018.79+18128.47</f>
        <v>22147.260000000002</v>
      </c>
      <c r="E37" s="276" t="s">
        <v>47</v>
      </c>
      <c r="F37" s="272">
        <v>215001</v>
      </c>
      <c r="G37" s="265">
        <v>18128.47</v>
      </c>
      <c r="H37" s="271"/>
    </row>
    <row r="38" spans="1:8" ht="23.25">
      <c r="A38" s="261"/>
      <c r="B38" s="261"/>
      <c r="C38" s="261"/>
      <c r="D38" s="262">
        <f>26.46+47.52</f>
        <v>73.98</v>
      </c>
      <c r="E38" s="276" t="s">
        <v>215</v>
      </c>
      <c r="F38" s="272">
        <v>215004</v>
      </c>
      <c r="G38" s="265">
        <v>47.52</v>
      </c>
      <c r="H38" s="261"/>
    </row>
    <row r="39" spans="1:8" ht="23.25">
      <c r="A39" s="261"/>
      <c r="B39" s="261"/>
      <c r="C39" s="261"/>
      <c r="D39" s="265">
        <f>7303+6956</f>
        <v>14259</v>
      </c>
      <c r="E39" s="276" t="s">
        <v>48</v>
      </c>
      <c r="F39" s="272">
        <v>215008</v>
      </c>
      <c r="G39" s="265">
        <v>6956</v>
      </c>
      <c r="H39" s="270"/>
    </row>
    <row r="40" spans="1:8" ht="23.25">
      <c r="A40" s="261"/>
      <c r="B40" s="261"/>
      <c r="C40" s="261"/>
      <c r="D40" s="265">
        <f>10336+11956</f>
        <v>22292</v>
      </c>
      <c r="E40" s="276" t="s">
        <v>49</v>
      </c>
      <c r="F40" s="272">
        <v>215013</v>
      </c>
      <c r="G40" s="265">
        <f>1288+10668</f>
        <v>11956</v>
      </c>
      <c r="H40" s="270"/>
    </row>
    <row r="41" spans="1:8" ht="23.25">
      <c r="A41" s="261"/>
      <c r="B41" s="261"/>
      <c r="C41" s="261"/>
      <c r="D41" s="265">
        <v>1240</v>
      </c>
      <c r="E41" s="276" t="s">
        <v>50</v>
      </c>
      <c r="F41" s="272">
        <v>215014</v>
      </c>
      <c r="G41" s="265">
        <v>1240</v>
      </c>
      <c r="H41" s="270"/>
    </row>
    <row r="42" spans="1:8" ht="23.25">
      <c r="A42" s="261"/>
      <c r="B42" s="261"/>
      <c r="C42" s="261"/>
      <c r="D42" s="265">
        <f>1200+6520</f>
        <v>7720</v>
      </c>
      <c r="E42" s="276" t="s">
        <v>396</v>
      </c>
      <c r="F42" s="281" t="s">
        <v>51</v>
      </c>
      <c r="G42" s="265">
        <v>6520</v>
      </c>
      <c r="H42" s="270"/>
    </row>
    <row r="43" spans="1:8" ht="23.25">
      <c r="A43" s="261"/>
      <c r="B43" s="261"/>
      <c r="C43" s="261"/>
      <c r="D43" s="308">
        <v>0</v>
      </c>
      <c r="E43" s="276" t="s">
        <v>7</v>
      </c>
      <c r="F43" s="272">
        <v>310000</v>
      </c>
      <c r="G43" s="275">
        <v>0</v>
      </c>
      <c r="H43" s="271"/>
    </row>
    <row r="44" spans="1:8" ht="23.25">
      <c r="A44" s="261"/>
      <c r="B44" s="261"/>
      <c r="C44" s="261"/>
      <c r="D44" s="308">
        <v>0</v>
      </c>
      <c r="E44" s="276" t="s">
        <v>14</v>
      </c>
      <c r="F44" s="281" t="s">
        <v>58</v>
      </c>
      <c r="G44" s="275">
        <v>0</v>
      </c>
      <c r="H44" s="282"/>
    </row>
    <row r="45" spans="1:8" ht="23.25">
      <c r="A45" s="261"/>
      <c r="B45" s="261"/>
      <c r="C45" s="261"/>
      <c r="D45" s="308">
        <v>0</v>
      </c>
      <c r="E45" s="276" t="s">
        <v>17</v>
      </c>
      <c r="F45" s="281" t="s">
        <v>59</v>
      </c>
      <c r="G45" s="275">
        <v>0</v>
      </c>
      <c r="H45" s="282"/>
    </row>
    <row r="46" spans="1:8" ht="23.25">
      <c r="A46" s="261"/>
      <c r="B46" s="261"/>
      <c r="C46" s="261"/>
      <c r="D46" s="265"/>
      <c r="E46" s="276"/>
      <c r="F46" s="281"/>
      <c r="G46" s="283"/>
      <c r="H46" s="270"/>
    </row>
    <row r="47" spans="1:8" ht="19.5">
      <c r="A47" s="261"/>
      <c r="B47" s="261"/>
      <c r="C47" s="261"/>
      <c r="D47" s="284">
        <f>SUM(D30:D45)</f>
        <v>1061883.6400000001</v>
      </c>
      <c r="E47" s="276"/>
      <c r="F47" s="272"/>
      <c r="G47" s="284">
        <f>SUM(G30:G46)</f>
        <v>963289.33</v>
      </c>
      <c r="H47" s="261"/>
    </row>
    <row r="48" spans="1:8" ht="20.25" thickBot="1">
      <c r="A48" s="261"/>
      <c r="B48" s="261"/>
      <c r="C48" s="261"/>
      <c r="D48" s="280">
        <f>+D28+D47</f>
        <v>10293027.24</v>
      </c>
      <c r="E48" s="272" t="s">
        <v>216</v>
      </c>
      <c r="F48" s="285"/>
      <c r="G48" s="280">
        <f>+G28+G47</f>
        <v>8860450.719999999</v>
      </c>
      <c r="H48" s="261"/>
    </row>
    <row r="49" spans="1:8" ht="20.25" thickTop="1">
      <c r="A49" s="261"/>
      <c r="B49" s="261"/>
      <c r="C49" s="261"/>
      <c r="D49" s="261"/>
      <c r="E49" s="251"/>
      <c r="F49" s="251"/>
      <c r="G49" s="261"/>
      <c r="H49" s="261"/>
    </row>
    <row r="50" spans="1:8" ht="19.5">
      <c r="A50" s="261"/>
      <c r="B50" s="261"/>
      <c r="C50" s="261"/>
      <c r="D50" s="261"/>
      <c r="E50" s="251"/>
      <c r="F50" s="251"/>
      <c r="G50" s="261"/>
      <c r="H50" s="261"/>
    </row>
    <row r="51" spans="1:8" ht="19.5">
      <c r="A51" s="261"/>
      <c r="B51" s="261"/>
      <c r="C51" s="261"/>
      <c r="D51" s="261"/>
      <c r="E51" s="251"/>
      <c r="F51" s="251"/>
      <c r="G51" s="261"/>
      <c r="H51" s="261"/>
    </row>
    <row r="52" spans="1:8" ht="19.5">
      <c r="A52" s="261"/>
      <c r="B52" s="261"/>
      <c r="C52" s="261"/>
      <c r="D52" s="261"/>
      <c r="E52" s="286" t="s">
        <v>217</v>
      </c>
      <c r="F52" s="251"/>
      <c r="G52" s="261"/>
      <c r="H52" s="261"/>
    </row>
    <row r="53" spans="1:8" ht="19.5">
      <c r="A53" s="427" t="s">
        <v>201</v>
      </c>
      <c r="B53" s="428"/>
      <c r="C53" s="428"/>
      <c r="D53" s="429"/>
      <c r="E53" s="430" t="s">
        <v>63</v>
      </c>
      <c r="F53" s="433" t="s">
        <v>394</v>
      </c>
      <c r="G53" s="250" t="s">
        <v>157</v>
      </c>
      <c r="H53" s="251"/>
    </row>
    <row r="54" spans="1:8" ht="19.5">
      <c r="A54" s="252" t="s">
        <v>77</v>
      </c>
      <c r="B54" s="253" t="s">
        <v>390</v>
      </c>
      <c r="C54" s="253" t="s">
        <v>85</v>
      </c>
      <c r="D54" s="253" t="s">
        <v>203</v>
      </c>
      <c r="E54" s="431"/>
      <c r="F54" s="434"/>
      <c r="G54" s="254" t="s">
        <v>230</v>
      </c>
      <c r="H54" s="255"/>
    </row>
    <row r="55" spans="1:8" ht="19.5">
      <c r="A55" s="254" t="s">
        <v>205</v>
      </c>
      <c r="B55" s="253" t="s">
        <v>391</v>
      </c>
      <c r="C55" s="253" t="s">
        <v>393</v>
      </c>
      <c r="D55" s="253" t="s">
        <v>393</v>
      </c>
      <c r="E55" s="431"/>
      <c r="F55" s="434"/>
      <c r="G55" s="254" t="s">
        <v>395</v>
      </c>
      <c r="H55" s="255"/>
    </row>
    <row r="56" spans="1:8" ht="19.5">
      <c r="A56" s="256"/>
      <c r="B56" s="256" t="s">
        <v>392</v>
      </c>
      <c r="C56" s="256"/>
      <c r="D56" s="256"/>
      <c r="E56" s="432"/>
      <c r="F56" s="435"/>
      <c r="G56" s="257" t="s">
        <v>205</v>
      </c>
      <c r="H56" s="255"/>
    </row>
    <row r="57" spans="1:8" ht="19.5">
      <c r="A57" s="262"/>
      <c r="B57" s="262"/>
      <c r="C57" s="262"/>
      <c r="D57" s="262"/>
      <c r="E57" s="293" t="s">
        <v>219</v>
      </c>
      <c r="F57" s="272"/>
      <c r="G57" s="262"/>
      <c r="H57" s="261"/>
    </row>
    <row r="58" spans="1:11" ht="19.5">
      <c r="A58" s="294">
        <f>995625+40000-40000+14000-14000</f>
        <v>995625</v>
      </c>
      <c r="B58" s="294"/>
      <c r="C58" s="294">
        <f>+A58+B58</f>
        <v>995625</v>
      </c>
      <c r="D58" s="295">
        <v>0</v>
      </c>
      <c r="E58" s="266" t="s">
        <v>12</v>
      </c>
      <c r="F58" s="269">
        <v>511000</v>
      </c>
      <c r="G58" s="295">
        <v>0</v>
      </c>
      <c r="H58" s="296"/>
      <c r="I58" s="297"/>
      <c r="J58" s="297"/>
      <c r="K58" s="298"/>
    </row>
    <row r="59" spans="1:11" ht="19.5">
      <c r="A59" s="299">
        <v>2624640</v>
      </c>
      <c r="B59" s="299"/>
      <c r="C59" s="294">
        <f aca="true" t="shared" si="1" ref="C59:C71">+A59+B59</f>
        <v>2624640</v>
      </c>
      <c r="D59" s="268">
        <f>199400+199400</f>
        <v>398800</v>
      </c>
      <c r="E59" s="266" t="s">
        <v>56</v>
      </c>
      <c r="F59" s="272">
        <v>521000</v>
      </c>
      <c r="G59" s="268">
        <v>199400</v>
      </c>
      <c r="H59" s="270"/>
      <c r="K59" s="300"/>
    </row>
    <row r="60" spans="1:11" ht="19.5">
      <c r="A60" s="299">
        <v>7443195</v>
      </c>
      <c r="B60" s="299"/>
      <c r="C60" s="294">
        <f t="shared" si="1"/>
        <v>7443195</v>
      </c>
      <c r="D60" s="262">
        <f>536288+547094.02</f>
        <v>1083382.02</v>
      </c>
      <c r="E60" s="266" t="s">
        <v>57</v>
      </c>
      <c r="F60" s="272">
        <v>522000</v>
      </c>
      <c r="G60" s="301">
        <v>547094.02</v>
      </c>
      <c r="H60" s="261"/>
      <c r="K60" s="300"/>
    </row>
    <row r="61" spans="1:11" ht="19.5">
      <c r="A61" s="299">
        <f>200000+60000+30000+80000-20000+2000-2000</f>
        <v>350000</v>
      </c>
      <c r="B61" s="299"/>
      <c r="C61" s="294">
        <f t="shared" si="1"/>
        <v>350000</v>
      </c>
      <c r="D61" s="265">
        <v>17400</v>
      </c>
      <c r="E61" s="266" t="s">
        <v>13</v>
      </c>
      <c r="F61" s="272">
        <v>531000</v>
      </c>
      <c r="G61" s="301">
        <v>17400</v>
      </c>
      <c r="H61" s="261"/>
      <c r="K61" s="300"/>
    </row>
    <row r="62" spans="1:11" ht="19.5">
      <c r="A62" s="299">
        <f>1260000+440000+120000+893400+120000+300000+350000+85000+430000+10000+60000+20000+100000-140000+77100-77100+75000-75000+20000-50000-10000-65000-23550</f>
        <v>3919850</v>
      </c>
      <c r="B62" s="299"/>
      <c r="C62" s="294">
        <f t="shared" si="1"/>
        <v>3919850</v>
      </c>
      <c r="D62" s="265">
        <f>34816.25+68958.25</f>
        <v>103774.5</v>
      </c>
      <c r="E62" s="276" t="s">
        <v>14</v>
      </c>
      <c r="F62" s="279">
        <v>532000</v>
      </c>
      <c r="G62" s="265">
        <v>68958.25</v>
      </c>
      <c r="H62" s="303"/>
      <c r="K62" s="300"/>
    </row>
    <row r="63" spans="1:11" ht="19.5">
      <c r="A63" s="299">
        <f>395000+90000+20000+1909940+235000+400000+16000+100000+15000+230000+90000+69500-4500+29550-6000</f>
        <v>3589490</v>
      </c>
      <c r="B63" s="299"/>
      <c r="C63" s="294">
        <f t="shared" si="1"/>
        <v>3589490</v>
      </c>
      <c r="D63" s="265">
        <f>5656+24142</f>
        <v>29798</v>
      </c>
      <c r="E63" s="276" t="s">
        <v>15</v>
      </c>
      <c r="F63" s="279">
        <v>533000</v>
      </c>
      <c r="G63" s="265">
        <v>24142</v>
      </c>
      <c r="H63" s="303"/>
      <c r="K63" s="300"/>
    </row>
    <row r="64" spans="1:11" ht="19.5">
      <c r="A64" s="299">
        <f>230000+20000+680000+30000</f>
        <v>960000</v>
      </c>
      <c r="B64" s="299"/>
      <c r="C64" s="294">
        <f t="shared" si="1"/>
        <v>960000</v>
      </c>
      <c r="D64" s="262">
        <f>52840.39+120794.16</f>
        <v>173634.55</v>
      </c>
      <c r="E64" s="276" t="s">
        <v>16</v>
      </c>
      <c r="F64" s="279">
        <v>534000</v>
      </c>
      <c r="G64" s="262">
        <v>120794.16</v>
      </c>
      <c r="H64" s="261"/>
      <c r="K64" s="300"/>
    </row>
    <row r="65" spans="1:11" ht="19.5">
      <c r="A65" s="304">
        <f>61800+68700+692500+100000+10000</f>
        <v>933000</v>
      </c>
      <c r="B65" s="304"/>
      <c r="C65" s="294">
        <f t="shared" si="1"/>
        <v>933000</v>
      </c>
      <c r="D65" s="302">
        <v>0</v>
      </c>
      <c r="E65" s="7" t="s">
        <v>18</v>
      </c>
      <c r="F65" s="279">
        <v>541000</v>
      </c>
      <c r="G65" s="302">
        <v>0</v>
      </c>
      <c r="H65" s="270"/>
      <c r="K65" s="300"/>
    </row>
    <row r="66" spans="1:11" ht="19.5">
      <c r="A66" s="294">
        <f>3137000+222200</f>
        <v>3359200</v>
      </c>
      <c r="B66" s="294"/>
      <c r="C66" s="294">
        <f t="shared" si="1"/>
        <v>3359200</v>
      </c>
      <c r="D66" s="302">
        <v>0</v>
      </c>
      <c r="E66" s="7" t="s">
        <v>220</v>
      </c>
      <c r="F66" s="279">
        <v>542000</v>
      </c>
      <c r="G66" s="302">
        <v>0</v>
      </c>
      <c r="H66" s="270"/>
      <c r="K66" s="300"/>
    </row>
    <row r="67" spans="1:11" ht="19.5">
      <c r="A67" s="299">
        <f>3620000+150000+20000+10000+25000</f>
        <v>3825000</v>
      </c>
      <c r="B67" s="294"/>
      <c r="C67" s="294">
        <f t="shared" si="1"/>
        <v>3825000</v>
      </c>
      <c r="D67" s="302">
        <v>0</v>
      </c>
      <c r="E67" s="7" t="s">
        <v>17</v>
      </c>
      <c r="F67" s="279">
        <v>561000</v>
      </c>
      <c r="G67" s="302">
        <v>0</v>
      </c>
      <c r="H67" s="270"/>
      <c r="K67" s="300"/>
    </row>
    <row r="68" spans="1:8" ht="19.5">
      <c r="A68" s="262"/>
      <c r="B68" s="261">
        <v>1369300</v>
      </c>
      <c r="C68" s="294">
        <f t="shared" si="1"/>
        <v>1369300</v>
      </c>
      <c r="D68" s="265">
        <f>685300+684000</f>
        <v>1369300</v>
      </c>
      <c r="E68" s="276" t="s">
        <v>60</v>
      </c>
      <c r="F68" s="279">
        <v>511000</v>
      </c>
      <c r="G68" s="265">
        <v>684000</v>
      </c>
      <c r="H68" s="310"/>
    </row>
    <row r="69" spans="1:8" ht="19.5">
      <c r="A69" s="262"/>
      <c r="B69" s="261">
        <v>174400</v>
      </c>
      <c r="C69" s="294">
        <f t="shared" si="1"/>
        <v>174400</v>
      </c>
      <c r="D69" s="265">
        <f>88000+86400</f>
        <v>174400</v>
      </c>
      <c r="E69" s="276" t="s">
        <v>397</v>
      </c>
      <c r="F69" s="279">
        <v>511000</v>
      </c>
      <c r="G69" s="265">
        <v>86400</v>
      </c>
      <c r="H69" s="310"/>
    </row>
    <row r="70" spans="1:8" ht="19.5">
      <c r="A70" s="262"/>
      <c r="B70" s="399">
        <v>0</v>
      </c>
      <c r="C70" s="400">
        <f t="shared" si="1"/>
        <v>0</v>
      </c>
      <c r="D70" s="308">
        <v>0</v>
      </c>
      <c r="E70" s="276" t="s">
        <v>61</v>
      </c>
      <c r="F70" s="279">
        <v>511000</v>
      </c>
      <c r="G70" s="308">
        <v>0</v>
      </c>
      <c r="H70" s="310"/>
    </row>
    <row r="71" spans="1:8" ht="19.5">
      <c r="A71" s="262"/>
      <c r="B71" s="261">
        <v>192600</v>
      </c>
      <c r="C71" s="294">
        <f t="shared" si="1"/>
        <v>192600</v>
      </c>
      <c r="D71" s="265">
        <v>192600</v>
      </c>
      <c r="E71" s="395" t="s">
        <v>434</v>
      </c>
      <c r="F71" s="279">
        <v>522000</v>
      </c>
      <c r="G71" s="265">
        <v>192600</v>
      </c>
      <c r="H71" s="310"/>
    </row>
    <row r="72" spans="1:11" ht="19.5">
      <c r="A72" s="299"/>
      <c r="B72" s="397"/>
      <c r="C72" s="294"/>
      <c r="D72" s="302"/>
      <c r="E72" s="7"/>
      <c r="F72" s="279"/>
      <c r="G72" s="302"/>
      <c r="H72" s="270"/>
      <c r="K72" s="300"/>
    </row>
    <row r="73" spans="1:10" s="6" customFormat="1" ht="20.25" thickBot="1">
      <c r="A73" s="305">
        <f>SUM(A58:A72)</f>
        <v>28000000</v>
      </c>
      <c r="B73" s="398">
        <f>SUM(B58:B72)</f>
        <v>1736300</v>
      </c>
      <c r="C73" s="398">
        <f>SUM(C58:C72)</f>
        <v>29736300</v>
      </c>
      <c r="D73" s="305">
        <f>SUM(D58:D71)</f>
        <v>3543089.0700000003</v>
      </c>
      <c r="E73" s="7"/>
      <c r="F73" s="15"/>
      <c r="G73" s="306">
        <f>SUM(G58:G72)</f>
        <v>1940788.4300000002</v>
      </c>
      <c r="H73" s="307"/>
      <c r="I73" s="13"/>
      <c r="J73" s="13"/>
    </row>
    <row r="74" spans="1:10" s="6" customFormat="1" ht="20.25" thickTop="1">
      <c r="A74" s="327"/>
      <c r="B74" s="327"/>
      <c r="C74" s="327"/>
      <c r="D74" s="328"/>
      <c r="E74" s="7"/>
      <c r="F74" s="15"/>
      <c r="G74" s="9"/>
      <c r="H74" s="307"/>
      <c r="I74" s="13"/>
      <c r="J74" s="13"/>
    </row>
    <row r="75" spans="1:8" ht="19.5">
      <c r="A75" s="261"/>
      <c r="B75" s="261"/>
      <c r="C75" s="261"/>
      <c r="D75" s="308">
        <v>0</v>
      </c>
      <c r="E75" s="276" t="s">
        <v>39</v>
      </c>
      <c r="F75" s="272">
        <v>112002</v>
      </c>
      <c r="G75" s="275">
        <v>0</v>
      </c>
      <c r="H75" s="271"/>
    </row>
    <row r="76" spans="1:8" ht="19.5">
      <c r="A76" s="261"/>
      <c r="B76" s="261"/>
      <c r="C76" s="261"/>
      <c r="D76" s="308">
        <v>0</v>
      </c>
      <c r="E76" s="276" t="s">
        <v>2</v>
      </c>
      <c r="F76" s="267">
        <v>113100</v>
      </c>
      <c r="G76" s="308">
        <v>0</v>
      </c>
      <c r="H76" s="271"/>
    </row>
    <row r="77" spans="1:8" ht="19.5">
      <c r="A77" s="261"/>
      <c r="B77" s="261"/>
      <c r="C77" s="309"/>
      <c r="D77" s="265">
        <v>460400</v>
      </c>
      <c r="E77" s="276" t="s">
        <v>9</v>
      </c>
      <c r="F77" s="267">
        <v>113700</v>
      </c>
      <c r="G77" s="308">
        <v>0</v>
      </c>
      <c r="H77" s="271"/>
    </row>
    <row r="78" spans="1:8" ht="19.5">
      <c r="A78" s="261"/>
      <c r="B78" s="261"/>
      <c r="C78" s="261"/>
      <c r="D78" s="265">
        <f>958690.44+1862000</f>
        <v>2820690.44</v>
      </c>
      <c r="E78" s="276" t="s">
        <v>5</v>
      </c>
      <c r="F78" s="267">
        <v>211000</v>
      </c>
      <c r="G78" s="265">
        <v>1862000</v>
      </c>
      <c r="H78" s="271"/>
    </row>
    <row r="79" spans="1:8" ht="19.5">
      <c r="A79" s="261"/>
      <c r="B79" s="261"/>
      <c r="C79" s="261"/>
      <c r="D79" s="265">
        <v>124251.88</v>
      </c>
      <c r="E79" s="276" t="s">
        <v>6</v>
      </c>
      <c r="F79" s="267">
        <v>213000</v>
      </c>
      <c r="G79" s="308">
        <v>0</v>
      </c>
      <c r="H79" s="271"/>
    </row>
    <row r="80" spans="1:8" ht="19.5">
      <c r="A80" s="261"/>
      <c r="B80" s="261"/>
      <c r="C80" s="261"/>
      <c r="D80" s="265">
        <f>18363.66+4018.79</f>
        <v>22382.45</v>
      </c>
      <c r="E80" s="276" t="s">
        <v>47</v>
      </c>
      <c r="F80" s="272">
        <v>215001</v>
      </c>
      <c r="G80" s="265">
        <v>4018.79</v>
      </c>
      <c r="H80" s="271"/>
    </row>
    <row r="81" spans="1:8" ht="19.5">
      <c r="A81" s="261"/>
      <c r="B81" s="261"/>
      <c r="C81" s="261"/>
      <c r="D81" s="308">
        <v>0</v>
      </c>
      <c r="E81" s="7" t="s">
        <v>215</v>
      </c>
      <c r="F81" s="272">
        <v>215004</v>
      </c>
      <c r="G81" s="275">
        <v>0</v>
      </c>
      <c r="H81" s="271"/>
    </row>
    <row r="82" spans="1:8" ht="19.5">
      <c r="A82" s="261"/>
      <c r="B82" s="261"/>
      <c r="C82" s="261"/>
      <c r="D82" s="265">
        <v>57894.2</v>
      </c>
      <c r="E82" s="276" t="s">
        <v>48</v>
      </c>
      <c r="F82" s="272">
        <v>215008</v>
      </c>
      <c r="G82" s="275">
        <v>0</v>
      </c>
      <c r="H82" s="271"/>
    </row>
    <row r="83" spans="1:8" ht="19.5">
      <c r="A83" s="261"/>
      <c r="B83" s="261"/>
      <c r="C83" s="261"/>
      <c r="D83" s="308">
        <v>0</v>
      </c>
      <c r="E83" s="7" t="s">
        <v>49</v>
      </c>
      <c r="F83" s="272">
        <v>215013</v>
      </c>
      <c r="G83" s="275">
        <v>0</v>
      </c>
      <c r="H83" s="271"/>
    </row>
    <row r="84" spans="1:8" ht="19.5">
      <c r="A84" s="261"/>
      <c r="B84" s="261"/>
      <c r="C84" s="261"/>
      <c r="D84" s="262">
        <v>5620</v>
      </c>
      <c r="E84" s="276" t="s">
        <v>396</v>
      </c>
      <c r="F84" s="272">
        <v>215999</v>
      </c>
      <c r="G84" s="265">
        <v>5620</v>
      </c>
      <c r="H84" s="261"/>
    </row>
    <row r="85" spans="1:8" ht="19.5">
      <c r="A85" s="261"/>
      <c r="B85" s="261"/>
      <c r="C85" s="261"/>
      <c r="D85" s="265">
        <v>10500</v>
      </c>
      <c r="E85" s="276" t="s">
        <v>7</v>
      </c>
      <c r="F85" s="272">
        <v>310000</v>
      </c>
      <c r="G85" s="308">
        <v>0</v>
      </c>
      <c r="H85" s="271"/>
    </row>
    <row r="86" spans="1:8" ht="19.5">
      <c r="A86" s="261"/>
      <c r="B86" s="261"/>
      <c r="C86" s="261"/>
      <c r="D86" s="265"/>
      <c r="E86" s="276"/>
      <c r="F86" s="272"/>
      <c r="G86" s="283"/>
      <c r="H86" s="310"/>
    </row>
    <row r="87" spans="1:8" ht="19.5">
      <c r="A87" s="261"/>
      <c r="B87" s="261"/>
      <c r="C87" s="261"/>
      <c r="D87" s="284">
        <f>SUM(D75:D86)</f>
        <v>3501738.97</v>
      </c>
      <c r="E87" s="276"/>
      <c r="F87" s="279"/>
      <c r="G87" s="284">
        <f>SUM(G75:G86)</f>
        <v>1871638.79</v>
      </c>
      <c r="H87" s="261"/>
    </row>
    <row r="88" spans="1:8" ht="20.25" thickBot="1">
      <c r="A88" s="261"/>
      <c r="B88" s="261"/>
      <c r="C88" s="261"/>
      <c r="D88" s="280">
        <f>+D73+D87</f>
        <v>7044828.040000001</v>
      </c>
      <c r="E88" s="272" t="s">
        <v>221</v>
      </c>
      <c r="F88" s="285"/>
      <c r="G88" s="280">
        <f>+G73+G87</f>
        <v>3812427.22</v>
      </c>
      <c r="H88" s="261"/>
    </row>
    <row r="89" spans="1:8" ht="20.25" hidden="1" thickTop="1">
      <c r="A89" s="261"/>
      <c r="B89" s="261"/>
      <c r="C89" s="261"/>
      <c r="D89" s="261"/>
      <c r="E89" s="277" t="s">
        <v>222</v>
      </c>
      <c r="F89" s="251"/>
      <c r="G89" s="261"/>
      <c r="H89" s="261"/>
    </row>
    <row r="90" spans="1:8" ht="19.5" hidden="1">
      <c r="A90" s="261"/>
      <c r="B90" s="261"/>
      <c r="C90" s="261"/>
      <c r="D90" s="311"/>
      <c r="E90" s="277"/>
      <c r="F90" s="251"/>
      <c r="G90" s="311"/>
      <c r="H90" s="261"/>
    </row>
    <row r="91" spans="1:10" s="6" customFormat="1" ht="19.5" hidden="1">
      <c r="A91" s="312" t="s">
        <v>201</v>
      </c>
      <c r="B91" s="312"/>
      <c r="C91" s="312"/>
      <c r="D91" s="287" t="s">
        <v>202</v>
      </c>
      <c r="E91" s="313"/>
      <c r="F91" s="249" t="s">
        <v>218</v>
      </c>
      <c r="G91" s="287" t="s">
        <v>202</v>
      </c>
      <c r="H91" s="251"/>
      <c r="I91" s="13"/>
      <c r="J91" s="13"/>
    </row>
    <row r="92" spans="1:8" ht="19.5" hidden="1">
      <c r="A92" s="314" t="s">
        <v>77</v>
      </c>
      <c r="B92" s="314"/>
      <c r="C92" s="314"/>
      <c r="D92" s="249" t="s">
        <v>223</v>
      </c>
      <c r="E92" s="288" t="s">
        <v>63</v>
      </c>
      <c r="F92" s="15" t="s">
        <v>204</v>
      </c>
      <c r="G92" s="249" t="s">
        <v>223</v>
      </c>
      <c r="H92" s="289"/>
    </row>
    <row r="93" spans="1:8" ht="19.5" hidden="1">
      <c r="A93" s="290" t="s">
        <v>205</v>
      </c>
      <c r="B93" s="326"/>
      <c r="C93" s="290"/>
      <c r="D93" s="290" t="s">
        <v>205</v>
      </c>
      <c r="E93" s="291"/>
      <c r="F93" s="285"/>
      <c r="G93" s="290" t="s">
        <v>205</v>
      </c>
      <c r="H93" s="292"/>
    </row>
    <row r="94" spans="1:8" ht="20.25" thickTop="1">
      <c r="A94" s="261"/>
      <c r="B94" s="261"/>
      <c r="C94" s="309"/>
      <c r="D94" s="258"/>
      <c r="E94" s="264"/>
      <c r="F94" s="272"/>
      <c r="G94" s="262"/>
      <c r="H94" s="261"/>
    </row>
    <row r="95" spans="1:8" ht="19.5">
      <c r="A95" s="261"/>
      <c r="B95" s="261"/>
      <c r="C95" s="261"/>
      <c r="D95" s="315">
        <f>+D48-D88</f>
        <v>3248199.1999999993</v>
      </c>
      <c r="E95" s="264" t="s">
        <v>224</v>
      </c>
      <c r="F95" s="272"/>
      <c r="G95" s="274">
        <f>+G48-G88</f>
        <v>5048023.499999998</v>
      </c>
      <c r="H95" s="316"/>
    </row>
    <row r="96" spans="1:8" ht="19.5">
      <c r="A96" s="261"/>
      <c r="B96" s="261"/>
      <c r="C96" s="261"/>
      <c r="D96" s="274"/>
      <c r="E96" s="266" t="s">
        <v>225</v>
      </c>
      <c r="F96" s="272"/>
      <c r="G96" s="315"/>
      <c r="H96" s="316"/>
    </row>
    <row r="97" spans="1:8" ht="19.5">
      <c r="A97" s="261"/>
      <c r="B97" s="261"/>
      <c r="C97" s="261"/>
      <c r="D97" s="315"/>
      <c r="E97" s="264" t="s">
        <v>226</v>
      </c>
      <c r="F97" s="285"/>
      <c r="G97" s="274"/>
      <c r="H97" s="317"/>
    </row>
    <row r="98" spans="1:8" ht="20.25" thickBot="1">
      <c r="A98" s="261"/>
      <c r="B98" s="261"/>
      <c r="C98" s="261"/>
      <c r="D98" s="280">
        <f>D10+D95-D97</f>
        <v>47584280.91</v>
      </c>
      <c r="E98" s="264" t="s">
        <v>227</v>
      </c>
      <c r="F98" s="279"/>
      <c r="G98" s="280">
        <f>+G10+G95-G97</f>
        <v>47584280.91</v>
      </c>
      <c r="H98" s="261"/>
    </row>
    <row r="99" spans="1:10" s="324" customFormat="1" ht="20.25" thickTop="1">
      <c r="A99" s="318"/>
      <c r="B99" s="318"/>
      <c r="C99" s="318"/>
      <c r="D99" s="319">
        <f>+G98-D98</f>
        <v>0</v>
      </c>
      <c r="E99" s="320"/>
      <c r="F99" s="321"/>
      <c r="G99" s="322">
        <v>47584280.91</v>
      </c>
      <c r="H99" s="319"/>
      <c r="I99" s="323"/>
      <c r="J99" s="323"/>
    </row>
    <row r="100" spans="1:10" s="324" customFormat="1" ht="19.5">
      <c r="A100" s="318"/>
      <c r="B100" s="318"/>
      <c r="C100" s="318"/>
      <c r="D100" s="319"/>
      <c r="E100" s="320"/>
      <c r="F100" s="321"/>
      <c r="G100" s="322">
        <f>+G99-G98</f>
        <v>0</v>
      </c>
      <c r="H100" s="319"/>
      <c r="I100" s="323"/>
      <c r="J100" s="323"/>
    </row>
    <row r="101" spans="1:10" s="324" customFormat="1" ht="19.5">
      <c r="A101" s="318"/>
      <c r="B101" s="318"/>
      <c r="C101" s="318"/>
      <c r="D101" s="319"/>
      <c r="E101" s="320"/>
      <c r="F101" s="321"/>
      <c r="G101" s="322"/>
      <c r="H101" s="319"/>
      <c r="I101" s="323"/>
      <c r="J101" s="323"/>
    </row>
    <row r="102" spans="1:10" s="324" customFormat="1" ht="19.5">
      <c r="A102" s="318"/>
      <c r="B102" s="318"/>
      <c r="C102" s="318"/>
      <c r="D102" s="319"/>
      <c r="E102" s="320"/>
      <c r="F102" s="321"/>
      <c r="G102" s="322"/>
      <c r="H102" s="319"/>
      <c r="I102" s="323"/>
      <c r="J102" s="323"/>
    </row>
    <row r="103" spans="2:10" ht="19.5">
      <c r="B103" s="1"/>
      <c r="C103" s="31" t="s">
        <v>228</v>
      </c>
      <c r="D103" s="1"/>
      <c r="E103" s="31"/>
      <c r="F103" s="32"/>
      <c r="G103" s="325"/>
      <c r="H103" s="1"/>
      <c r="I103" s="1"/>
      <c r="J103" s="1"/>
    </row>
    <row r="104" spans="2:10" ht="19.5">
      <c r="B104" s="1"/>
      <c r="C104" s="31" t="s">
        <v>75</v>
      </c>
      <c r="D104" s="1"/>
      <c r="E104" s="31"/>
      <c r="F104" s="32"/>
      <c r="G104" s="32"/>
      <c r="H104" s="1"/>
      <c r="I104" s="1"/>
      <c r="J104" s="1"/>
    </row>
    <row r="105" spans="2:10" ht="19.5">
      <c r="B105" s="1"/>
      <c r="C105" s="31" t="s">
        <v>229</v>
      </c>
      <c r="D105" s="1"/>
      <c r="E105" s="31"/>
      <c r="F105" s="32"/>
      <c r="G105" s="32"/>
      <c r="H105" s="1"/>
      <c r="I105" s="1"/>
      <c r="J105" s="1"/>
    </row>
  </sheetData>
  <sheetProtection/>
  <mergeCells count="9">
    <mergeCell ref="A53:D53"/>
    <mergeCell ref="E53:E56"/>
    <mergeCell ref="F53:F56"/>
    <mergeCell ref="E6:E9"/>
    <mergeCell ref="A2:G2"/>
    <mergeCell ref="A6:D6"/>
    <mergeCell ref="F6:F9"/>
    <mergeCell ref="A3:G3"/>
    <mergeCell ref="A4:G4"/>
  </mergeCells>
  <printOptions/>
  <pageMargins left="0.52" right="0.15748031496062992" top="0.58" bottom="0.1968503937007874" header="0.16" footer="0.15748031496062992"/>
  <pageSetup horizontalDpi="600" verticalDpi="6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20"/>
  <sheetViews>
    <sheetView zoomScalePageLayoutView="0" workbookViewId="0" topLeftCell="A3">
      <pane xSplit="2" ySplit="11" topLeftCell="C14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P118" sqref="P118"/>
    </sheetView>
  </sheetViews>
  <sheetFormatPr defaultColWidth="9.140625" defaultRowHeight="12.75"/>
  <cols>
    <col min="1" max="1" width="3.57421875" style="193" customWidth="1"/>
    <col min="2" max="2" width="42.28125" style="193" customWidth="1"/>
    <col min="3" max="3" width="13.7109375" style="193" customWidth="1"/>
    <col min="4" max="4" width="14.57421875" style="193" bestFit="1" customWidth="1"/>
    <col min="5" max="5" width="9.57421875" style="193" customWidth="1"/>
    <col min="6" max="6" width="11.140625" style="193" customWidth="1"/>
    <col min="7" max="7" width="9.8515625" style="193" customWidth="1"/>
    <col min="8" max="8" width="13.28125" style="193" customWidth="1"/>
    <col min="9" max="9" width="10.00390625" style="193" customWidth="1"/>
    <col min="10" max="10" width="11.57421875" style="193" customWidth="1"/>
    <col min="11" max="11" width="12.8515625" style="193" customWidth="1"/>
    <col min="12" max="12" width="9.140625" style="193" customWidth="1"/>
    <col min="13" max="13" width="11.7109375" style="193" customWidth="1"/>
    <col min="14" max="14" width="11.57421875" style="193" customWidth="1"/>
    <col min="15" max="15" width="11.140625" style="193" customWidth="1"/>
    <col min="16" max="16" width="11.8515625" style="193" customWidth="1"/>
    <col min="17" max="17" width="10.140625" style="193" customWidth="1"/>
    <col min="18" max="18" width="12.421875" style="193" bestFit="1" customWidth="1"/>
    <col min="19" max="19" width="10.7109375" style="193" customWidth="1"/>
    <col min="20" max="20" width="12.00390625" style="193" customWidth="1"/>
    <col min="21" max="21" width="11.28125" style="193" customWidth="1"/>
    <col min="22" max="22" width="17.00390625" style="193" customWidth="1"/>
    <col min="23" max="23" width="13.57421875" style="193" bestFit="1" customWidth="1"/>
    <col min="24" max="24" width="13.57421875" style="160" bestFit="1" customWidth="1"/>
    <col min="25" max="16384" width="9.140625" style="193" customWidth="1"/>
  </cols>
  <sheetData>
    <row r="2" spans="1:22" ht="18.75">
      <c r="A2" s="438" t="s">
        <v>404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</row>
    <row r="3" spans="1:22" ht="18.75">
      <c r="A3" s="439" t="s">
        <v>415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</row>
    <row r="4" spans="1:22" ht="18.75">
      <c r="A4" s="201"/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4" s="204" customFormat="1" ht="18.75">
      <c r="A5" s="440" t="s">
        <v>405</v>
      </c>
      <c r="B5" s="441"/>
      <c r="C5" s="446" t="s">
        <v>253</v>
      </c>
      <c r="D5" s="446"/>
      <c r="E5" s="446" t="s">
        <v>254</v>
      </c>
      <c r="F5" s="446"/>
      <c r="G5" s="446" t="s">
        <v>255</v>
      </c>
      <c r="H5" s="446"/>
      <c r="I5" s="446" t="s">
        <v>256</v>
      </c>
      <c r="J5" s="446"/>
      <c r="K5" s="446" t="s">
        <v>257</v>
      </c>
      <c r="L5" s="446"/>
      <c r="M5" s="446"/>
      <c r="N5" s="203" t="s">
        <v>258</v>
      </c>
      <c r="O5" s="446" t="s">
        <v>259</v>
      </c>
      <c r="P5" s="446"/>
      <c r="Q5" s="446"/>
      <c r="R5" s="203" t="s">
        <v>260</v>
      </c>
      <c r="S5" s="203" t="s">
        <v>260</v>
      </c>
      <c r="T5" s="203" t="s">
        <v>261</v>
      </c>
      <c r="U5" s="203" t="s">
        <v>262</v>
      </c>
      <c r="V5" s="448" t="s">
        <v>85</v>
      </c>
      <c r="X5" s="192"/>
    </row>
    <row r="6" spans="1:22" ht="18.75">
      <c r="A6" s="442"/>
      <c r="B6" s="443"/>
      <c r="C6" s="447" t="s">
        <v>263</v>
      </c>
      <c r="D6" s="447"/>
      <c r="E6" s="448" t="s">
        <v>264</v>
      </c>
      <c r="F6" s="448"/>
      <c r="G6" s="448" t="s">
        <v>265</v>
      </c>
      <c r="H6" s="448"/>
      <c r="I6" s="447" t="s">
        <v>266</v>
      </c>
      <c r="J6" s="447"/>
      <c r="K6" s="447" t="s">
        <v>267</v>
      </c>
      <c r="L6" s="447"/>
      <c r="M6" s="447"/>
      <c r="N6" s="447" t="s">
        <v>268</v>
      </c>
      <c r="O6" s="447" t="s">
        <v>269</v>
      </c>
      <c r="P6" s="447"/>
      <c r="Q6" s="447"/>
      <c r="R6" s="449" t="s">
        <v>270</v>
      </c>
      <c r="S6" s="447" t="s">
        <v>271</v>
      </c>
      <c r="T6" s="447" t="s">
        <v>272</v>
      </c>
      <c r="U6" s="447" t="s">
        <v>273</v>
      </c>
      <c r="V6" s="448"/>
    </row>
    <row r="7" spans="1:22" ht="18.75">
      <c r="A7" s="442"/>
      <c r="B7" s="443"/>
      <c r="C7" s="447"/>
      <c r="D7" s="447"/>
      <c r="E7" s="448"/>
      <c r="F7" s="448"/>
      <c r="G7" s="448"/>
      <c r="H7" s="448"/>
      <c r="I7" s="447"/>
      <c r="J7" s="447"/>
      <c r="K7" s="447"/>
      <c r="L7" s="447"/>
      <c r="M7" s="447"/>
      <c r="N7" s="447"/>
      <c r="O7" s="447"/>
      <c r="P7" s="447"/>
      <c r="Q7" s="447"/>
      <c r="R7" s="449"/>
      <c r="S7" s="447"/>
      <c r="T7" s="447"/>
      <c r="U7" s="447"/>
      <c r="V7" s="448"/>
    </row>
    <row r="8" spans="1:22" ht="18.75">
      <c r="A8" s="442"/>
      <c r="B8" s="443"/>
      <c r="C8" s="447"/>
      <c r="D8" s="447"/>
      <c r="E8" s="448"/>
      <c r="F8" s="448"/>
      <c r="G8" s="448"/>
      <c r="H8" s="448"/>
      <c r="I8" s="447"/>
      <c r="J8" s="447"/>
      <c r="K8" s="447"/>
      <c r="L8" s="447"/>
      <c r="M8" s="447"/>
      <c r="N8" s="447"/>
      <c r="O8" s="447"/>
      <c r="P8" s="447"/>
      <c r="Q8" s="447"/>
      <c r="R8" s="449"/>
      <c r="S8" s="447"/>
      <c r="T8" s="447"/>
      <c r="U8" s="447"/>
      <c r="V8" s="448"/>
    </row>
    <row r="9" spans="1:24" s="204" customFormat="1" ht="18.75">
      <c r="A9" s="442"/>
      <c r="B9" s="443"/>
      <c r="C9" s="203" t="s">
        <v>274</v>
      </c>
      <c r="D9" s="203" t="s">
        <v>275</v>
      </c>
      <c r="E9" s="203" t="s">
        <v>276</v>
      </c>
      <c r="F9" s="203" t="s">
        <v>277</v>
      </c>
      <c r="G9" s="203" t="s">
        <v>278</v>
      </c>
      <c r="H9" s="203" t="s">
        <v>279</v>
      </c>
      <c r="I9" s="203" t="s">
        <v>280</v>
      </c>
      <c r="J9" s="203" t="s">
        <v>281</v>
      </c>
      <c r="K9" s="203" t="s">
        <v>282</v>
      </c>
      <c r="L9" s="203" t="s">
        <v>283</v>
      </c>
      <c r="M9" s="203" t="s">
        <v>284</v>
      </c>
      <c r="N9" s="203" t="s">
        <v>285</v>
      </c>
      <c r="O9" s="203" t="s">
        <v>286</v>
      </c>
      <c r="P9" s="203" t="s">
        <v>287</v>
      </c>
      <c r="Q9" s="203" t="s">
        <v>288</v>
      </c>
      <c r="R9" s="203" t="s">
        <v>289</v>
      </c>
      <c r="S9" s="203" t="s">
        <v>289</v>
      </c>
      <c r="T9" s="203" t="s">
        <v>290</v>
      </c>
      <c r="U9" s="203" t="s">
        <v>291</v>
      </c>
      <c r="V9" s="448"/>
      <c r="X9" s="192"/>
    </row>
    <row r="10" spans="1:24" s="205" customFormat="1" ht="18.75">
      <c r="A10" s="442"/>
      <c r="B10" s="443"/>
      <c r="C10" s="447" t="s">
        <v>292</v>
      </c>
      <c r="D10" s="447" t="s">
        <v>293</v>
      </c>
      <c r="E10" s="447" t="s">
        <v>294</v>
      </c>
      <c r="F10" s="447" t="s">
        <v>295</v>
      </c>
      <c r="G10" s="447" t="s">
        <v>296</v>
      </c>
      <c r="H10" s="447" t="s">
        <v>297</v>
      </c>
      <c r="I10" s="447" t="s">
        <v>298</v>
      </c>
      <c r="J10" s="447" t="s">
        <v>299</v>
      </c>
      <c r="K10" s="447" t="s">
        <v>300</v>
      </c>
      <c r="L10" s="447" t="s">
        <v>301</v>
      </c>
      <c r="M10" s="447" t="s">
        <v>302</v>
      </c>
      <c r="N10" s="447" t="s">
        <v>303</v>
      </c>
      <c r="O10" s="447" t="s">
        <v>304</v>
      </c>
      <c r="P10" s="447" t="s">
        <v>305</v>
      </c>
      <c r="Q10" s="447" t="s">
        <v>306</v>
      </c>
      <c r="R10" s="447" t="s">
        <v>307</v>
      </c>
      <c r="S10" s="447" t="s">
        <v>308</v>
      </c>
      <c r="T10" s="447" t="s">
        <v>309</v>
      </c>
      <c r="U10" s="447" t="s">
        <v>12</v>
      </c>
      <c r="V10" s="448"/>
      <c r="X10" s="192"/>
    </row>
    <row r="11" spans="1:24" s="205" customFormat="1" ht="18.75">
      <c r="A11" s="442"/>
      <c r="B11" s="443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8"/>
      <c r="X11" s="192"/>
    </row>
    <row r="12" spans="1:22" ht="18.75">
      <c r="A12" s="442"/>
      <c r="B12" s="443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8"/>
    </row>
    <row r="13" spans="1:22" ht="18.75">
      <c r="A13" s="444"/>
      <c r="B13" s="445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8"/>
    </row>
    <row r="14" spans="1:23" ht="18.75">
      <c r="A14" s="206" t="s">
        <v>12</v>
      </c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195"/>
    </row>
    <row r="15" spans="1:23" ht="18.75">
      <c r="A15" s="209"/>
      <c r="B15" s="210" t="s">
        <v>310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>
        <f aca="true" t="shared" si="0" ref="V15:V22">SUM(C15:U15)</f>
        <v>0</v>
      </c>
      <c r="W15" s="195"/>
    </row>
    <row r="16" spans="1:23" ht="18.75">
      <c r="A16" s="209"/>
      <c r="B16" s="210" t="s">
        <v>311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>
        <v>0</v>
      </c>
      <c r="V16" s="211">
        <f t="shared" si="0"/>
        <v>0</v>
      </c>
      <c r="W16" s="195"/>
    </row>
    <row r="17" spans="1:23" ht="18.75">
      <c r="A17" s="209"/>
      <c r="B17" s="210" t="s">
        <v>312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>
        <v>0</v>
      </c>
      <c r="V17" s="211">
        <f t="shared" si="0"/>
        <v>0</v>
      </c>
      <c r="W17" s="195"/>
    </row>
    <row r="18" spans="1:23" ht="18.75">
      <c r="A18" s="209"/>
      <c r="B18" s="210" t="s">
        <v>313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>
        <v>0</v>
      </c>
      <c r="V18" s="211">
        <f t="shared" si="0"/>
        <v>0</v>
      </c>
      <c r="W18" s="195"/>
    </row>
    <row r="19" spans="1:23" ht="18.75">
      <c r="A19" s="209"/>
      <c r="B19" s="210" t="s">
        <v>314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>
        <v>0</v>
      </c>
      <c r="V19" s="211">
        <f t="shared" si="0"/>
        <v>0</v>
      </c>
      <c r="W19" s="195"/>
    </row>
    <row r="20" spans="1:23" ht="18.75">
      <c r="A20" s="209"/>
      <c r="B20" s="210" t="s">
        <v>315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>
        <f t="shared" si="0"/>
        <v>0</v>
      </c>
      <c r="W20" s="195"/>
    </row>
    <row r="21" spans="1:23" ht="18.75">
      <c r="A21" s="209"/>
      <c r="B21" s="210" t="s">
        <v>316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>
        <v>0</v>
      </c>
      <c r="V21" s="211">
        <f t="shared" si="0"/>
        <v>0</v>
      </c>
      <c r="W21" s="195"/>
    </row>
    <row r="22" spans="1:23" ht="18.75">
      <c r="A22" s="209"/>
      <c r="B22" s="210" t="s">
        <v>317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>
        <f t="shared" si="0"/>
        <v>0</v>
      </c>
      <c r="W22" s="195"/>
    </row>
    <row r="23" spans="1:26" s="215" customFormat="1" ht="18.75">
      <c r="A23" s="212" t="s">
        <v>318</v>
      </c>
      <c r="B23" s="213"/>
      <c r="C23" s="214">
        <f aca="true" t="shared" si="1" ref="C23:V23">SUM(C15:C22)</f>
        <v>0</v>
      </c>
      <c r="D23" s="214">
        <f t="shared" si="1"/>
        <v>0</v>
      </c>
      <c r="E23" s="214">
        <f t="shared" si="1"/>
        <v>0</v>
      </c>
      <c r="F23" s="214">
        <f t="shared" si="1"/>
        <v>0</v>
      </c>
      <c r="G23" s="214">
        <f t="shared" si="1"/>
        <v>0</v>
      </c>
      <c r="H23" s="214">
        <f t="shared" si="1"/>
        <v>0</v>
      </c>
      <c r="I23" s="214">
        <f t="shared" si="1"/>
        <v>0</v>
      </c>
      <c r="J23" s="214">
        <f t="shared" si="1"/>
        <v>0</v>
      </c>
      <c r="K23" s="214">
        <f t="shared" si="1"/>
        <v>0</v>
      </c>
      <c r="L23" s="214">
        <f t="shared" si="1"/>
        <v>0</v>
      </c>
      <c r="M23" s="214">
        <f t="shared" si="1"/>
        <v>0</v>
      </c>
      <c r="N23" s="214">
        <f t="shared" si="1"/>
        <v>0</v>
      </c>
      <c r="O23" s="214">
        <f t="shared" si="1"/>
        <v>0</v>
      </c>
      <c r="P23" s="214">
        <f t="shared" si="1"/>
        <v>0</v>
      </c>
      <c r="Q23" s="214">
        <f t="shared" si="1"/>
        <v>0</v>
      </c>
      <c r="R23" s="214">
        <f t="shared" si="1"/>
        <v>0</v>
      </c>
      <c r="S23" s="214">
        <f>SUM(S15:S22)</f>
        <v>0</v>
      </c>
      <c r="T23" s="214">
        <f t="shared" si="1"/>
        <v>0</v>
      </c>
      <c r="U23" s="214">
        <f t="shared" si="1"/>
        <v>0</v>
      </c>
      <c r="V23" s="214">
        <f t="shared" si="1"/>
        <v>0</v>
      </c>
      <c r="W23" s="195"/>
      <c r="X23" s="160"/>
      <c r="Y23" s="193"/>
      <c r="Z23" s="193"/>
    </row>
    <row r="24" spans="1:26" s="219" customFormat="1" ht="18.75">
      <c r="A24" s="216" t="s">
        <v>319</v>
      </c>
      <c r="B24" s="217"/>
      <c r="C24" s="218">
        <f aca="true" t="shared" si="2" ref="C24:T24">+C23</f>
        <v>0</v>
      </c>
      <c r="D24" s="218">
        <f t="shared" si="2"/>
        <v>0</v>
      </c>
      <c r="E24" s="218">
        <f t="shared" si="2"/>
        <v>0</v>
      </c>
      <c r="F24" s="218">
        <f t="shared" si="2"/>
        <v>0</v>
      </c>
      <c r="G24" s="218">
        <f t="shared" si="2"/>
        <v>0</v>
      </c>
      <c r="H24" s="218">
        <f t="shared" si="2"/>
        <v>0</v>
      </c>
      <c r="I24" s="218">
        <f t="shared" si="2"/>
        <v>0</v>
      </c>
      <c r="J24" s="218">
        <f t="shared" si="2"/>
        <v>0</v>
      </c>
      <c r="K24" s="218">
        <f t="shared" si="2"/>
        <v>0</v>
      </c>
      <c r="L24" s="218">
        <f t="shared" si="2"/>
        <v>0</v>
      </c>
      <c r="M24" s="218">
        <f t="shared" si="2"/>
        <v>0</v>
      </c>
      <c r="N24" s="218">
        <f t="shared" si="2"/>
        <v>0</v>
      </c>
      <c r="O24" s="218">
        <f t="shared" si="2"/>
        <v>0</v>
      </c>
      <c r="P24" s="218">
        <f t="shared" si="2"/>
        <v>0</v>
      </c>
      <c r="Q24" s="218">
        <f t="shared" si="2"/>
        <v>0</v>
      </c>
      <c r="R24" s="218">
        <f t="shared" si="2"/>
        <v>0</v>
      </c>
      <c r="S24" s="218">
        <f>+S23</f>
        <v>0</v>
      </c>
      <c r="T24" s="218">
        <f t="shared" si="2"/>
        <v>0</v>
      </c>
      <c r="U24" s="218"/>
      <c r="V24" s="218">
        <f>SUM(C24:U24)</f>
        <v>0</v>
      </c>
      <c r="W24" s="195"/>
      <c r="X24" s="160"/>
      <c r="Y24" s="193"/>
      <c r="Z24" s="193"/>
    </row>
    <row r="25" spans="1:23" ht="18.75">
      <c r="A25" s="220" t="s">
        <v>56</v>
      </c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195"/>
    </row>
    <row r="26" spans="1:23" ht="18.75">
      <c r="A26" s="209"/>
      <c r="B26" s="210" t="s">
        <v>320</v>
      </c>
      <c r="C26" s="211">
        <f>57960+10000+10000</f>
        <v>77960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>
        <f>SUM(C26:U26)</f>
        <v>77960</v>
      </c>
      <c r="W26" s="195"/>
    </row>
    <row r="27" spans="1:23" ht="18.75">
      <c r="A27" s="209"/>
      <c r="B27" s="210" t="s">
        <v>321</v>
      </c>
      <c r="C27" s="211">
        <v>16560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>
        <f>SUM(C27:U27)</f>
        <v>16560</v>
      </c>
      <c r="W27" s="195"/>
    </row>
    <row r="28" spans="1:23" ht="18.75">
      <c r="A28" s="209"/>
      <c r="B28" s="210" t="s">
        <v>322</v>
      </c>
      <c r="C28" s="211">
        <v>104880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>
        <f>SUM(C28:U28)</f>
        <v>104880</v>
      </c>
      <c r="W28" s="195"/>
    </row>
    <row r="29" spans="1:26" s="215" customFormat="1" ht="18.75">
      <c r="A29" s="212" t="s">
        <v>318</v>
      </c>
      <c r="B29" s="213"/>
      <c r="C29" s="214">
        <f aca="true" t="shared" si="3" ref="C29:V29">SUM(C26:C28)</f>
        <v>199400</v>
      </c>
      <c r="D29" s="214">
        <f t="shared" si="3"/>
        <v>0</v>
      </c>
      <c r="E29" s="214">
        <f t="shared" si="3"/>
        <v>0</v>
      </c>
      <c r="F29" s="214">
        <f t="shared" si="3"/>
        <v>0</v>
      </c>
      <c r="G29" s="214">
        <f t="shared" si="3"/>
        <v>0</v>
      </c>
      <c r="H29" s="214">
        <f t="shared" si="3"/>
        <v>0</v>
      </c>
      <c r="I29" s="214">
        <f t="shared" si="3"/>
        <v>0</v>
      </c>
      <c r="J29" s="214">
        <f t="shared" si="3"/>
        <v>0</v>
      </c>
      <c r="K29" s="214">
        <f t="shared" si="3"/>
        <v>0</v>
      </c>
      <c r="L29" s="214">
        <f t="shared" si="3"/>
        <v>0</v>
      </c>
      <c r="M29" s="214">
        <f t="shared" si="3"/>
        <v>0</v>
      </c>
      <c r="N29" s="214">
        <f t="shared" si="3"/>
        <v>0</v>
      </c>
      <c r="O29" s="214">
        <f t="shared" si="3"/>
        <v>0</v>
      </c>
      <c r="P29" s="214">
        <f t="shared" si="3"/>
        <v>0</v>
      </c>
      <c r="Q29" s="214">
        <f t="shared" si="3"/>
        <v>0</v>
      </c>
      <c r="R29" s="214">
        <f t="shared" si="3"/>
        <v>0</v>
      </c>
      <c r="S29" s="214">
        <f>SUM(S26:S28)</f>
        <v>0</v>
      </c>
      <c r="T29" s="214">
        <f t="shared" si="3"/>
        <v>0</v>
      </c>
      <c r="U29" s="214">
        <f t="shared" si="3"/>
        <v>0</v>
      </c>
      <c r="V29" s="214">
        <f t="shared" si="3"/>
        <v>199400</v>
      </c>
      <c r="W29" s="221"/>
      <c r="X29" s="160"/>
      <c r="Y29" s="193"/>
      <c r="Z29" s="193"/>
    </row>
    <row r="30" spans="1:26" s="219" customFormat="1" ht="18.75">
      <c r="A30" s="216" t="s">
        <v>319</v>
      </c>
      <c r="B30" s="217"/>
      <c r="C30" s="218">
        <f>199400+199400</f>
        <v>398800</v>
      </c>
      <c r="D30" s="218">
        <f aca="true" t="shared" si="4" ref="D30:U30">+D29</f>
        <v>0</v>
      </c>
      <c r="E30" s="218">
        <f t="shared" si="4"/>
        <v>0</v>
      </c>
      <c r="F30" s="218"/>
      <c r="G30" s="218">
        <f t="shared" si="4"/>
        <v>0</v>
      </c>
      <c r="H30" s="218">
        <f t="shared" si="4"/>
        <v>0</v>
      </c>
      <c r="I30" s="218">
        <f t="shared" si="4"/>
        <v>0</v>
      </c>
      <c r="J30" s="218">
        <f t="shared" si="4"/>
        <v>0</v>
      </c>
      <c r="K30" s="218">
        <f t="shared" si="4"/>
        <v>0</v>
      </c>
      <c r="L30" s="218">
        <f t="shared" si="4"/>
        <v>0</v>
      </c>
      <c r="M30" s="218">
        <f t="shared" si="4"/>
        <v>0</v>
      </c>
      <c r="N30" s="218">
        <f t="shared" si="4"/>
        <v>0</v>
      </c>
      <c r="O30" s="218">
        <f t="shared" si="4"/>
        <v>0</v>
      </c>
      <c r="P30" s="218">
        <f t="shared" si="4"/>
        <v>0</v>
      </c>
      <c r="Q30" s="218">
        <f t="shared" si="4"/>
        <v>0</v>
      </c>
      <c r="R30" s="218">
        <f t="shared" si="4"/>
        <v>0</v>
      </c>
      <c r="S30" s="218">
        <f>+S29</f>
        <v>0</v>
      </c>
      <c r="T30" s="218">
        <f t="shared" si="4"/>
        <v>0</v>
      </c>
      <c r="U30" s="218">
        <f t="shared" si="4"/>
        <v>0</v>
      </c>
      <c r="V30" s="218">
        <f>SUM(C30:U30)</f>
        <v>398800</v>
      </c>
      <c r="W30" s="221"/>
      <c r="X30" s="160"/>
      <c r="Y30" s="193"/>
      <c r="Z30" s="193"/>
    </row>
    <row r="31" spans="1:23" ht="18.75">
      <c r="A31" s="220" t="s">
        <v>57</v>
      </c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21"/>
    </row>
    <row r="32" spans="1:23" ht="18.75">
      <c r="A32" s="209"/>
      <c r="B32" s="210" t="s">
        <v>323</v>
      </c>
      <c r="C32" s="211">
        <v>198189.35</v>
      </c>
      <c r="D32" s="211">
        <v>74330</v>
      </c>
      <c r="E32" s="211"/>
      <c r="F32" s="211"/>
      <c r="G32" s="211"/>
      <c r="H32" s="211"/>
      <c r="I32" s="211"/>
      <c r="J32" s="211"/>
      <c r="K32" s="211">
        <v>29080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>
        <f aca="true" t="shared" si="5" ref="V32:V41">SUM(C32:U32)</f>
        <v>301599.35</v>
      </c>
      <c r="W32" s="221"/>
    </row>
    <row r="33" spans="1:23" ht="18.75">
      <c r="A33" s="209"/>
      <c r="B33" s="210" t="s">
        <v>324</v>
      </c>
      <c r="C33" s="211">
        <v>2000</v>
      </c>
      <c r="D33" s="211">
        <v>0</v>
      </c>
      <c r="E33" s="211"/>
      <c r="F33" s="211"/>
      <c r="G33" s="211"/>
      <c r="H33" s="211"/>
      <c r="I33" s="211"/>
      <c r="J33" s="211"/>
      <c r="K33" s="211">
        <v>0</v>
      </c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>
        <f t="shared" si="5"/>
        <v>2000</v>
      </c>
      <c r="W33" s="195"/>
    </row>
    <row r="34" spans="1:23" ht="18.75">
      <c r="A34" s="209"/>
      <c r="B34" s="210" t="s">
        <v>325</v>
      </c>
      <c r="C34" s="211">
        <v>9100</v>
      </c>
      <c r="D34" s="211">
        <v>3500</v>
      </c>
      <c r="E34" s="211"/>
      <c r="F34" s="211"/>
      <c r="G34" s="211"/>
      <c r="H34" s="211"/>
      <c r="I34" s="211"/>
      <c r="J34" s="211"/>
      <c r="K34" s="211">
        <v>3500</v>
      </c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>
        <f t="shared" si="5"/>
        <v>16100</v>
      </c>
      <c r="W34" s="195"/>
    </row>
    <row r="35" spans="1:23" ht="18.75">
      <c r="A35" s="209"/>
      <c r="B35" s="210" t="s">
        <v>326</v>
      </c>
      <c r="C35" s="211">
        <v>14750</v>
      </c>
      <c r="D35" s="211">
        <v>13550</v>
      </c>
      <c r="E35" s="211"/>
      <c r="F35" s="211"/>
      <c r="G35" s="211"/>
      <c r="H35" s="211"/>
      <c r="I35" s="211"/>
      <c r="J35" s="211"/>
      <c r="K35" s="211">
        <v>0</v>
      </c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>
        <f t="shared" si="5"/>
        <v>28300</v>
      </c>
      <c r="W35" s="195"/>
    </row>
    <row r="36" spans="1:23" ht="18.75">
      <c r="A36" s="209"/>
      <c r="B36" s="210" t="s">
        <v>327</v>
      </c>
      <c r="C36" s="211">
        <v>0</v>
      </c>
      <c r="D36" s="211">
        <v>0</v>
      </c>
      <c r="E36" s="211"/>
      <c r="F36" s="211"/>
      <c r="G36" s="211"/>
      <c r="H36" s="211">
        <v>0</v>
      </c>
      <c r="I36" s="211"/>
      <c r="J36" s="211"/>
      <c r="K36" s="211">
        <v>0</v>
      </c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>
        <f t="shared" si="5"/>
        <v>0</v>
      </c>
      <c r="W36" s="195"/>
    </row>
    <row r="37" spans="1:23" ht="18.75">
      <c r="A37" s="209"/>
      <c r="B37" s="210" t="s">
        <v>328</v>
      </c>
      <c r="C37" s="211">
        <v>94758</v>
      </c>
      <c r="D37" s="211">
        <v>42640</v>
      </c>
      <c r="E37" s="211"/>
      <c r="F37" s="211"/>
      <c r="G37" s="211"/>
      <c r="H37" s="211"/>
      <c r="I37" s="211"/>
      <c r="J37" s="211"/>
      <c r="K37" s="211">
        <v>37230</v>
      </c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>
        <f t="shared" si="5"/>
        <v>174628</v>
      </c>
      <c r="W37" s="195"/>
    </row>
    <row r="38" spans="1:23" ht="18.75">
      <c r="A38" s="209"/>
      <c r="B38" s="210" t="s">
        <v>329</v>
      </c>
      <c r="C38" s="211">
        <v>9866.67</v>
      </c>
      <c r="D38" s="211">
        <v>4000</v>
      </c>
      <c r="E38" s="211"/>
      <c r="F38" s="211"/>
      <c r="G38" s="211"/>
      <c r="H38" s="211"/>
      <c r="I38" s="211"/>
      <c r="J38" s="211"/>
      <c r="K38" s="211">
        <v>5000</v>
      </c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>
        <f t="shared" si="5"/>
        <v>18866.67</v>
      </c>
      <c r="W38" s="195"/>
    </row>
    <row r="39" spans="1:23" ht="18.75">
      <c r="A39" s="209"/>
      <c r="B39" s="210" t="s">
        <v>330</v>
      </c>
      <c r="C39" s="211">
        <v>5600</v>
      </c>
      <c r="D39" s="211">
        <v>0</v>
      </c>
      <c r="E39" s="211"/>
      <c r="F39" s="211"/>
      <c r="G39" s="211"/>
      <c r="H39" s="211"/>
      <c r="I39" s="211"/>
      <c r="J39" s="211"/>
      <c r="K39" s="211">
        <v>0</v>
      </c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>
        <f>SUM(C39:U39)</f>
        <v>5600</v>
      </c>
      <c r="W39" s="195"/>
    </row>
    <row r="40" spans="1:26" s="215" customFormat="1" ht="18.75">
      <c r="A40" s="212" t="s">
        <v>318</v>
      </c>
      <c r="B40" s="213"/>
      <c r="C40" s="214">
        <f>SUM(C32:C39)</f>
        <v>334264.01999999996</v>
      </c>
      <c r="D40" s="214">
        <f aca="true" t="shared" si="6" ref="D40:U40">SUM(D32:D39)</f>
        <v>138020</v>
      </c>
      <c r="E40" s="214">
        <f t="shared" si="6"/>
        <v>0</v>
      </c>
      <c r="F40" s="214">
        <f t="shared" si="6"/>
        <v>0</v>
      </c>
      <c r="G40" s="214">
        <f t="shared" si="6"/>
        <v>0</v>
      </c>
      <c r="H40" s="214">
        <f t="shared" si="6"/>
        <v>0</v>
      </c>
      <c r="I40" s="214">
        <f t="shared" si="6"/>
        <v>0</v>
      </c>
      <c r="J40" s="214">
        <f t="shared" si="6"/>
        <v>0</v>
      </c>
      <c r="K40" s="214">
        <f t="shared" si="6"/>
        <v>74810</v>
      </c>
      <c r="L40" s="214">
        <f t="shared" si="6"/>
        <v>0</v>
      </c>
      <c r="M40" s="214">
        <f t="shared" si="6"/>
        <v>0</v>
      </c>
      <c r="N40" s="214">
        <f t="shared" si="6"/>
        <v>0</v>
      </c>
      <c r="O40" s="214">
        <f t="shared" si="6"/>
        <v>0</v>
      </c>
      <c r="P40" s="214">
        <f t="shared" si="6"/>
        <v>0</v>
      </c>
      <c r="Q40" s="214">
        <f t="shared" si="6"/>
        <v>0</v>
      </c>
      <c r="R40" s="214">
        <f t="shared" si="6"/>
        <v>0</v>
      </c>
      <c r="S40" s="214">
        <f>SUM(S32:S39)</f>
        <v>0</v>
      </c>
      <c r="T40" s="214">
        <f t="shared" si="6"/>
        <v>0</v>
      </c>
      <c r="U40" s="214">
        <f t="shared" si="6"/>
        <v>0</v>
      </c>
      <c r="V40" s="214">
        <f t="shared" si="5"/>
        <v>547094.02</v>
      </c>
      <c r="W40" s="195"/>
      <c r="X40" s="160"/>
      <c r="Y40" s="193"/>
      <c r="Z40" s="193"/>
    </row>
    <row r="41" spans="1:26" s="219" customFormat="1" ht="18.75">
      <c r="A41" s="216" t="s">
        <v>319</v>
      </c>
      <c r="B41" s="217"/>
      <c r="C41" s="218">
        <f>315030+334264.02</f>
        <v>649294.02</v>
      </c>
      <c r="D41" s="218">
        <f>142075+138020</f>
        <v>280095</v>
      </c>
      <c r="E41" s="218">
        <v>0</v>
      </c>
      <c r="F41" s="218"/>
      <c r="G41" s="218">
        <f>1770-1770</f>
        <v>0</v>
      </c>
      <c r="H41" s="218">
        <v>0</v>
      </c>
      <c r="I41" s="218">
        <v>0</v>
      </c>
      <c r="J41" s="218">
        <v>0</v>
      </c>
      <c r="K41" s="218">
        <f>79183+74810</f>
        <v>153993</v>
      </c>
      <c r="L41" s="218">
        <v>0</v>
      </c>
      <c r="M41" s="218">
        <v>0</v>
      </c>
      <c r="N41" s="218">
        <v>0</v>
      </c>
      <c r="O41" s="218">
        <v>0</v>
      </c>
      <c r="P41" s="218">
        <v>0</v>
      </c>
      <c r="Q41" s="218">
        <v>0</v>
      </c>
      <c r="R41" s="218">
        <v>0</v>
      </c>
      <c r="S41" s="218">
        <v>0</v>
      </c>
      <c r="T41" s="218">
        <v>0</v>
      </c>
      <c r="U41" s="218">
        <v>0</v>
      </c>
      <c r="V41" s="218">
        <f t="shared" si="5"/>
        <v>1083382.02</v>
      </c>
      <c r="W41" s="195"/>
      <c r="X41" s="160"/>
      <c r="Y41" s="193"/>
      <c r="Z41" s="193"/>
    </row>
    <row r="42" spans="1:23" ht="18.75">
      <c r="A42" s="222" t="s">
        <v>13</v>
      </c>
      <c r="B42" s="22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95"/>
    </row>
    <row r="43" spans="1:23" ht="18.75">
      <c r="A43" s="209"/>
      <c r="B43" s="210" t="s">
        <v>331</v>
      </c>
      <c r="C43" s="211">
        <v>0</v>
      </c>
      <c r="D43" s="211">
        <v>0</v>
      </c>
      <c r="E43" s="211"/>
      <c r="F43" s="211"/>
      <c r="G43" s="211"/>
      <c r="H43" s="211">
        <v>0</v>
      </c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>
        <f aca="true" t="shared" si="7" ref="V43:V50">SUM(C43:U43)</f>
        <v>0</v>
      </c>
      <c r="W43" s="195"/>
    </row>
    <row r="44" spans="1:23" ht="18.75">
      <c r="A44" s="209"/>
      <c r="B44" s="210" t="s">
        <v>332</v>
      </c>
      <c r="C44" s="211">
        <v>0</v>
      </c>
      <c r="D44" s="211">
        <v>0</v>
      </c>
      <c r="E44" s="211"/>
      <c r="F44" s="211"/>
      <c r="G44" s="211"/>
      <c r="H44" s="211">
        <v>0</v>
      </c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>
        <f t="shared" si="7"/>
        <v>0</v>
      </c>
      <c r="W44" s="195"/>
    </row>
    <row r="45" spans="1:23" ht="18.75">
      <c r="A45" s="209"/>
      <c r="B45" s="210" t="s">
        <v>333</v>
      </c>
      <c r="C45" s="211">
        <v>0</v>
      </c>
      <c r="D45" s="211">
        <v>0</v>
      </c>
      <c r="E45" s="211"/>
      <c r="F45" s="211"/>
      <c r="G45" s="211"/>
      <c r="H45" s="211">
        <v>0</v>
      </c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>
        <f t="shared" si="7"/>
        <v>0</v>
      </c>
      <c r="W45" s="195"/>
    </row>
    <row r="46" spans="1:23" ht="18.75">
      <c r="A46" s="209"/>
      <c r="B46" s="210" t="s">
        <v>334</v>
      </c>
      <c r="C46" s="211">
        <v>10500</v>
      </c>
      <c r="D46" s="211">
        <v>0</v>
      </c>
      <c r="E46" s="211"/>
      <c r="F46" s="211"/>
      <c r="G46" s="211"/>
      <c r="H46" s="211">
        <v>0</v>
      </c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>
        <f t="shared" si="7"/>
        <v>10500</v>
      </c>
      <c r="W46" s="195"/>
    </row>
    <row r="47" spans="1:23" ht="18.75">
      <c r="A47" s="209"/>
      <c r="B47" s="210" t="s">
        <v>335</v>
      </c>
      <c r="C47" s="211">
        <v>5100</v>
      </c>
      <c r="D47" s="211">
        <v>1800</v>
      </c>
      <c r="E47" s="211"/>
      <c r="F47" s="211"/>
      <c r="G47" s="211"/>
      <c r="H47" s="211">
        <v>0</v>
      </c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>
        <f t="shared" si="7"/>
        <v>6900</v>
      </c>
      <c r="W47" s="195"/>
    </row>
    <row r="48" spans="1:23" ht="18.75">
      <c r="A48" s="209"/>
      <c r="B48" s="210" t="s">
        <v>336</v>
      </c>
      <c r="C48" s="91">
        <v>0</v>
      </c>
      <c r="D48" s="91">
        <v>0</v>
      </c>
      <c r="E48" s="211"/>
      <c r="F48" s="211"/>
      <c r="G48" s="211"/>
      <c r="H48" s="211">
        <v>0</v>
      </c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91">
        <f t="shared" si="7"/>
        <v>0</v>
      </c>
      <c r="W48" s="195"/>
    </row>
    <row r="49" spans="1:26" s="215" customFormat="1" ht="18.75">
      <c r="A49" s="212" t="s">
        <v>318</v>
      </c>
      <c r="B49" s="213"/>
      <c r="C49" s="214">
        <f aca="true" t="shared" si="8" ref="C49:U49">SUM(C43:C48)</f>
        <v>15600</v>
      </c>
      <c r="D49" s="214">
        <f t="shared" si="8"/>
        <v>1800</v>
      </c>
      <c r="E49" s="214">
        <f t="shared" si="8"/>
        <v>0</v>
      </c>
      <c r="F49" s="214">
        <f t="shared" si="8"/>
        <v>0</v>
      </c>
      <c r="G49" s="214">
        <f t="shared" si="8"/>
        <v>0</v>
      </c>
      <c r="H49" s="214">
        <f t="shared" si="8"/>
        <v>0</v>
      </c>
      <c r="I49" s="214">
        <f t="shared" si="8"/>
        <v>0</v>
      </c>
      <c r="J49" s="214">
        <f t="shared" si="8"/>
        <v>0</v>
      </c>
      <c r="K49" s="214">
        <f t="shared" si="8"/>
        <v>0</v>
      </c>
      <c r="L49" s="214">
        <f t="shared" si="8"/>
        <v>0</v>
      </c>
      <c r="M49" s="214">
        <f t="shared" si="8"/>
        <v>0</v>
      </c>
      <c r="N49" s="214">
        <f t="shared" si="8"/>
        <v>0</v>
      </c>
      <c r="O49" s="214">
        <f t="shared" si="8"/>
        <v>0</v>
      </c>
      <c r="P49" s="214">
        <f t="shared" si="8"/>
        <v>0</v>
      </c>
      <c r="Q49" s="214">
        <f t="shared" si="8"/>
        <v>0</v>
      </c>
      <c r="R49" s="214">
        <f t="shared" si="8"/>
        <v>0</v>
      </c>
      <c r="S49" s="214">
        <f>SUM(S43:S48)</f>
        <v>0</v>
      </c>
      <c r="T49" s="214">
        <f t="shared" si="8"/>
        <v>0</v>
      </c>
      <c r="U49" s="214">
        <f t="shared" si="8"/>
        <v>0</v>
      </c>
      <c r="V49" s="214">
        <f t="shared" si="7"/>
        <v>17400</v>
      </c>
      <c r="W49" s="160"/>
      <c r="X49" s="160"/>
      <c r="Y49" s="193"/>
      <c r="Z49" s="193"/>
    </row>
    <row r="50" spans="1:26" s="219" customFormat="1" ht="18.75">
      <c r="A50" s="224" t="s">
        <v>319</v>
      </c>
      <c r="B50" s="225"/>
      <c r="C50" s="226">
        <v>15600</v>
      </c>
      <c r="D50" s="226">
        <v>1800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/>
      <c r="L50" s="226">
        <v>0</v>
      </c>
      <c r="M50" s="226">
        <v>0</v>
      </c>
      <c r="N50" s="226">
        <v>0</v>
      </c>
      <c r="O50" s="226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f t="shared" si="7"/>
        <v>17400</v>
      </c>
      <c r="W50" s="195"/>
      <c r="X50" s="160"/>
      <c r="Y50" s="193"/>
      <c r="Z50" s="193"/>
    </row>
    <row r="51" spans="1:22" ht="18.75">
      <c r="A51" s="220" t="s">
        <v>14</v>
      </c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8.75">
      <c r="A52" s="209"/>
      <c r="B52" s="210" t="s">
        <v>337</v>
      </c>
      <c r="C52" s="211">
        <v>19450</v>
      </c>
      <c r="D52" s="211">
        <v>10150</v>
      </c>
      <c r="E52" s="211"/>
      <c r="F52" s="211"/>
      <c r="G52" s="211"/>
      <c r="H52" s="211"/>
      <c r="I52" s="211"/>
      <c r="J52" s="211"/>
      <c r="K52" s="211">
        <v>13000</v>
      </c>
      <c r="L52" s="211"/>
      <c r="M52" s="227">
        <v>14166.25</v>
      </c>
      <c r="N52" s="211"/>
      <c r="O52" s="211"/>
      <c r="P52" s="211"/>
      <c r="Q52" s="211"/>
      <c r="R52" s="211"/>
      <c r="S52" s="211"/>
      <c r="T52" s="211"/>
      <c r="U52" s="211"/>
      <c r="V52" s="211">
        <f aca="true" t="shared" si="9" ref="V52:V58">SUM(C52:U52)</f>
        <v>56766.25</v>
      </c>
    </row>
    <row r="53" spans="1:22" ht="18.75">
      <c r="A53" s="209"/>
      <c r="B53" s="210" t="s">
        <v>338</v>
      </c>
      <c r="C53" s="211">
        <v>1700</v>
      </c>
      <c r="D53" s="211">
        <v>0</v>
      </c>
      <c r="E53" s="211"/>
      <c r="F53" s="211"/>
      <c r="G53" s="211"/>
      <c r="H53" s="211"/>
      <c r="I53" s="211"/>
      <c r="J53" s="211"/>
      <c r="K53" s="211">
        <v>4200</v>
      </c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>
        <f t="shared" si="9"/>
        <v>5900</v>
      </c>
    </row>
    <row r="54" spans="1:22" ht="18.75">
      <c r="A54" s="209"/>
      <c r="B54" s="210" t="s">
        <v>339</v>
      </c>
      <c r="C54" s="211">
        <v>364</v>
      </c>
      <c r="D54" s="211">
        <v>0</v>
      </c>
      <c r="E54" s="211"/>
      <c r="F54" s="211"/>
      <c r="G54" s="211"/>
      <c r="H54" s="211"/>
      <c r="I54" s="211"/>
      <c r="J54" s="211"/>
      <c r="K54" s="211">
        <v>0</v>
      </c>
      <c r="L54" s="211"/>
      <c r="M54" s="211"/>
      <c r="N54" s="211"/>
      <c r="O54" s="211"/>
      <c r="P54" s="211"/>
      <c r="Q54" s="211"/>
      <c r="R54" s="211"/>
      <c r="S54" s="211">
        <v>0</v>
      </c>
      <c r="T54" s="211">
        <v>0</v>
      </c>
      <c r="U54" s="211"/>
      <c r="V54" s="211">
        <f t="shared" si="9"/>
        <v>364</v>
      </c>
    </row>
    <row r="55" spans="1:22" ht="18.75">
      <c r="A55" s="209"/>
      <c r="B55" s="210" t="s">
        <v>340</v>
      </c>
      <c r="C55" s="211">
        <v>0</v>
      </c>
      <c r="D55" s="211">
        <v>0</v>
      </c>
      <c r="E55" s="211"/>
      <c r="F55" s="211"/>
      <c r="G55" s="211"/>
      <c r="H55" s="211">
        <v>5928</v>
      </c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>
        <f t="shared" si="9"/>
        <v>5928</v>
      </c>
    </row>
    <row r="56" spans="1:22" ht="18.75">
      <c r="A56" s="209"/>
      <c r="B56" s="210" t="s">
        <v>341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>
        <f t="shared" si="9"/>
        <v>0</v>
      </c>
    </row>
    <row r="57" spans="1:26" s="215" customFormat="1" ht="18.75">
      <c r="A57" s="212" t="s">
        <v>318</v>
      </c>
      <c r="B57" s="213"/>
      <c r="C57" s="214">
        <f>SUM(C52:C56)</f>
        <v>21514</v>
      </c>
      <c r="D57" s="214">
        <f aca="true" t="shared" si="10" ref="D57:U57">SUM(D52:D56)</f>
        <v>10150</v>
      </c>
      <c r="E57" s="214">
        <f t="shared" si="10"/>
        <v>0</v>
      </c>
      <c r="F57" s="214">
        <f t="shared" si="10"/>
        <v>0</v>
      </c>
      <c r="G57" s="214">
        <f t="shared" si="10"/>
        <v>0</v>
      </c>
      <c r="H57" s="214">
        <f t="shared" si="10"/>
        <v>5928</v>
      </c>
      <c r="I57" s="214">
        <f t="shared" si="10"/>
        <v>0</v>
      </c>
      <c r="J57" s="214">
        <f t="shared" si="10"/>
        <v>0</v>
      </c>
      <c r="K57" s="214">
        <f t="shared" si="10"/>
        <v>17200</v>
      </c>
      <c r="L57" s="214">
        <f t="shared" si="10"/>
        <v>0</v>
      </c>
      <c r="M57" s="214">
        <f t="shared" si="10"/>
        <v>14166.25</v>
      </c>
      <c r="N57" s="214">
        <f t="shared" si="10"/>
        <v>0</v>
      </c>
      <c r="O57" s="214">
        <f t="shared" si="10"/>
        <v>0</v>
      </c>
      <c r="P57" s="214">
        <f t="shared" si="10"/>
        <v>0</v>
      </c>
      <c r="Q57" s="214">
        <f t="shared" si="10"/>
        <v>0</v>
      </c>
      <c r="R57" s="214">
        <f t="shared" si="10"/>
        <v>0</v>
      </c>
      <c r="S57" s="214">
        <f>SUM(S52:S56)</f>
        <v>0</v>
      </c>
      <c r="T57" s="214">
        <f t="shared" si="10"/>
        <v>0</v>
      </c>
      <c r="U57" s="214">
        <f t="shared" si="10"/>
        <v>0</v>
      </c>
      <c r="V57" s="214">
        <f t="shared" si="9"/>
        <v>68958.25</v>
      </c>
      <c r="W57" s="160"/>
      <c r="X57" s="160"/>
      <c r="Y57" s="193"/>
      <c r="Z57" s="193"/>
    </row>
    <row r="58" spans="1:26" s="219" customFormat="1" ht="18.75">
      <c r="A58" s="216" t="s">
        <v>319</v>
      </c>
      <c r="B58" s="217"/>
      <c r="C58" s="218">
        <v>21514</v>
      </c>
      <c r="D58" s="218">
        <v>10150</v>
      </c>
      <c r="E58" s="218">
        <v>0</v>
      </c>
      <c r="F58" s="218"/>
      <c r="G58" s="218">
        <v>0</v>
      </c>
      <c r="H58" s="218">
        <f>22960+5928</f>
        <v>28888</v>
      </c>
      <c r="I58" s="218">
        <v>0</v>
      </c>
      <c r="J58" s="218">
        <v>0</v>
      </c>
      <c r="K58" s="218">
        <v>17200</v>
      </c>
      <c r="L58" s="218">
        <v>0</v>
      </c>
      <c r="M58" s="218">
        <f>11856.25+14166.25</f>
        <v>26022.5</v>
      </c>
      <c r="N58" s="218"/>
      <c r="O58" s="218">
        <v>0</v>
      </c>
      <c r="P58" s="218"/>
      <c r="Q58" s="218"/>
      <c r="R58" s="218">
        <v>0</v>
      </c>
      <c r="S58" s="218"/>
      <c r="T58" s="218"/>
      <c r="U58" s="218">
        <v>0</v>
      </c>
      <c r="V58" s="218">
        <f t="shared" si="9"/>
        <v>103774.5</v>
      </c>
      <c r="W58" s="195"/>
      <c r="X58" s="160"/>
      <c r="Y58" s="193"/>
      <c r="Z58" s="193"/>
    </row>
    <row r="59" spans="1:22" ht="18.75">
      <c r="A59" s="220" t="s">
        <v>15</v>
      </c>
      <c r="B59" s="210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8.75">
      <c r="A60" s="209"/>
      <c r="B60" s="210" t="s">
        <v>342</v>
      </c>
      <c r="C60" s="211">
        <v>9948</v>
      </c>
      <c r="D60" s="211">
        <v>0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>
        <v>0</v>
      </c>
      <c r="T60" s="211">
        <v>0</v>
      </c>
      <c r="U60" s="211"/>
      <c r="V60" s="211">
        <f aca="true" t="shared" si="11" ref="V60:V74">SUM(C60:U60)</f>
        <v>9948</v>
      </c>
    </row>
    <row r="61" spans="1:22" ht="18.75">
      <c r="A61" s="209"/>
      <c r="B61" s="210" t="s">
        <v>343</v>
      </c>
      <c r="C61" s="211">
        <v>0</v>
      </c>
      <c r="D61" s="211">
        <v>0</v>
      </c>
      <c r="E61" s="211"/>
      <c r="F61" s="211"/>
      <c r="G61" s="211"/>
      <c r="H61" s="211">
        <v>0</v>
      </c>
      <c r="I61" s="211"/>
      <c r="J61" s="211"/>
      <c r="K61" s="211">
        <v>0</v>
      </c>
      <c r="L61" s="211"/>
      <c r="M61" s="211"/>
      <c r="N61" s="211"/>
      <c r="O61" s="211"/>
      <c r="P61" s="211"/>
      <c r="Q61" s="211"/>
      <c r="R61" s="211"/>
      <c r="S61" s="211">
        <v>0</v>
      </c>
      <c r="T61" s="211">
        <v>0</v>
      </c>
      <c r="U61" s="211"/>
      <c r="V61" s="211">
        <f>SUM(C61:U61)</f>
        <v>0</v>
      </c>
    </row>
    <row r="62" spans="1:22" ht="18.75">
      <c r="A62" s="209"/>
      <c r="B62" s="210" t="s">
        <v>344</v>
      </c>
      <c r="C62" s="211">
        <v>0</v>
      </c>
      <c r="D62" s="211">
        <v>0</v>
      </c>
      <c r="E62" s="211"/>
      <c r="F62" s="211"/>
      <c r="G62" s="211"/>
      <c r="H62" s="211">
        <v>0</v>
      </c>
      <c r="I62" s="211"/>
      <c r="J62" s="211"/>
      <c r="K62" s="211">
        <v>0</v>
      </c>
      <c r="L62" s="211"/>
      <c r="M62" s="211"/>
      <c r="N62" s="211"/>
      <c r="O62" s="211"/>
      <c r="P62" s="211"/>
      <c r="Q62" s="211"/>
      <c r="R62" s="211"/>
      <c r="S62" s="211">
        <v>0</v>
      </c>
      <c r="T62" s="211">
        <v>0</v>
      </c>
      <c r="U62" s="211"/>
      <c r="V62" s="211">
        <f t="shared" si="11"/>
        <v>0</v>
      </c>
    </row>
    <row r="63" spans="1:22" ht="18.75">
      <c r="A63" s="209"/>
      <c r="B63" s="210" t="s">
        <v>345</v>
      </c>
      <c r="C63" s="211">
        <v>0</v>
      </c>
      <c r="D63" s="211">
        <v>0</v>
      </c>
      <c r="E63" s="211"/>
      <c r="F63" s="211"/>
      <c r="G63" s="211"/>
      <c r="H63" s="211">
        <v>0</v>
      </c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>
        <v>0</v>
      </c>
      <c r="T63" s="211"/>
      <c r="U63" s="211"/>
      <c r="V63" s="211">
        <f t="shared" si="11"/>
        <v>0</v>
      </c>
    </row>
    <row r="64" spans="1:22" ht="18.75">
      <c r="A64" s="209"/>
      <c r="B64" s="210" t="s">
        <v>346</v>
      </c>
      <c r="C64" s="211">
        <v>0</v>
      </c>
      <c r="D64" s="211">
        <v>0</v>
      </c>
      <c r="E64" s="211"/>
      <c r="F64" s="211"/>
      <c r="G64" s="211"/>
      <c r="H64" s="211"/>
      <c r="I64" s="211"/>
      <c r="J64" s="211"/>
      <c r="K64" s="211">
        <v>0</v>
      </c>
      <c r="L64" s="211"/>
      <c r="M64" s="211"/>
      <c r="N64" s="211"/>
      <c r="O64" s="211"/>
      <c r="P64" s="211"/>
      <c r="Q64" s="211"/>
      <c r="R64" s="211"/>
      <c r="S64" s="211">
        <v>0</v>
      </c>
      <c r="T64" s="211">
        <v>0</v>
      </c>
      <c r="U64" s="211"/>
      <c r="V64" s="211">
        <f t="shared" si="11"/>
        <v>0</v>
      </c>
    </row>
    <row r="65" spans="1:22" ht="18.75">
      <c r="A65" s="209"/>
      <c r="B65" s="210" t="s">
        <v>347</v>
      </c>
      <c r="C65" s="211">
        <v>950</v>
      </c>
      <c r="D65" s="211"/>
      <c r="E65" s="211"/>
      <c r="F65" s="211"/>
      <c r="G65" s="211"/>
      <c r="H65" s="211"/>
      <c r="I65" s="211"/>
      <c r="J65" s="211"/>
      <c r="K65" s="211">
        <v>13244</v>
      </c>
      <c r="L65" s="211"/>
      <c r="M65" s="211"/>
      <c r="N65" s="211"/>
      <c r="O65" s="211"/>
      <c r="P65" s="211"/>
      <c r="Q65" s="211"/>
      <c r="R65" s="211"/>
      <c r="S65" s="211">
        <v>0</v>
      </c>
      <c r="T65" s="211">
        <v>0</v>
      </c>
      <c r="U65" s="211"/>
      <c r="V65" s="211">
        <f t="shared" si="11"/>
        <v>14194</v>
      </c>
    </row>
    <row r="66" spans="1:22" ht="18.75">
      <c r="A66" s="209"/>
      <c r="B66" s="210" t="s">
        <v>348</v>
      </c>
      <c r="C66" s="211">
        <v>0</v>
      </c>
      <c r="D66" s="211">
        <v>0</v>
      </c>
      <c r="E66" s="211"/>
      <c r="F66" s="211"/>
      <c r="G66" s="211"/>
      <c r="H66" s="211">
        <v>0</v>
      </c>
      <c r="I66" s="211"/>
      <c r="J66" s="211"/>
      <c r="K66" s="211">
        <v>0</v>
      </c>
      <c r="L66" s="211"/>
      <c r="M66" s="211"/>
      <c r="N66" s="211"/>
      <c r="O66" s="211"/>
      <c r="P66" s="211"/>
      <c r="Q66" s="211"/>
      <c r="R66" s="211"/>
      <c r="S66" s="211">
        <v>0</v>
      </c>
      <c r="T66" s="211">
        <v>0</v>
      </c>
      <c r="U66" s="211"/>
      <c r="V66" s="211">
        <f t="shared" si="11"/>
        <v>0</v>
      </c>
    </row>
    <row r="67" spans="1:22" ht="18.75">
      <c r="A67" s="209"/>
      <c r="B67" s="210" t="s">
        <v>349</v>
      </c>
      <c r="C67" s="211">
        <v>0</v>
      </c>
      <c r="D67" s="211">
        <v>0</v>
      </c>
      <c r="E67" s="211"/>
      <c r="F67" s="211"/>
      <c r="G67" s="211"/>
      <c r="H67" s="211">
        <v>0</v>
      </c>
      <c r="I67" s="211"/>
      <c r="J67" s="211"/>
      <c r="K67" s="211">
        <v>0</v>
      </c>
      <c r="L67" s="211"/>
      <c r="M67" s="211"/>
      <c r="N67" s="211"/>
      <c r="O67" s="211"/>
      <c r="P67" s="211"/>
      <c r="Q67" s="211"/>
      <c r="R67" s="211"/>
      <c r="S67" s="211"/>
      <c r="T67" s="211">
        <v>0</v>
      </c>
      <c r="U67" s="211"/>
      <c r="V67" s="211">
        <f t="shared" si="11"/>
        <v>0</v>
      </c>
    </row>
    <row r="68" spans="1:22" ht="18.75">
      <c r="A68" s="209"/>
      <c r="B68" s="210" t="s">
        <v>350</v>
      </c>
      <c r="C68" s="211">
        <v>0</v>
      </c>
      <c r="D68" s="211">
        <v>0</v>
      </c>
      <c r="E68" s="211"/>
      <c r="F68" s="211"/>
      <c r="G68" s="211"/>
      <c r="H68" s="211">
        <v>0</v>
      </c>
      <c r="I68" s="211"/>
      <c r="J68" s="211"/>
      <c r="K68" s="211">
        <v>0</v>
      </c>
      <c r="L68" s="211"/>
      <c r="M68" s="211"/>
      <c r="N68" s="211"/>
      <c r="O68" s="211"/>
      <c r="P68" s="211"/>
      <c r="Q68" s="211"/>
      <c r="R68" s="211"/>
      <c r="S68" s="211">
        <v>0</v>
      </c>
      <c r="T68" s="211">
        <v>0</v>
      </c>
      <c r="U68" s="211"/>
      <c r="V68" s="211">
        <f t="shared" si="11"/>
        <v>0</v>
      </c>
    </row>
    <row r="69" spans="1:22" ht="18.75">
      <c r="A69" s="209"/>
      <c r="B69" s="210" t="s">
        <v>351</v>
      </c>
      <c r="C69" s="211">
        <v>0</v>
      </c>
      <c r="D69" s="211">
        <v>0</v>
      </c>
      <c r="E69" s="211"/>
      <c r="F69" s="211"/>
      <c r="G69" s="211"/>
      <c r="H69" s="211">
        <v>0</v>
      </c>
      <c r="I69" s="211"/>
      <c r="J69" s="211"/>
      <c r="K69" s="211">
        <v>0</v>
      </c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8.75">
      <c r="A70" s="209"/>
      <c r="B70" s="210" t="s">
        <v>352</v>
      </c>
      <c r="C70" s="211">
        <v>0</v>
      </c>
      <c r="D70" s="211">
        <v>0</v>
      </c>
      <c r="E70" s="211"/>
      <c r="F70" s="211"/>
      <c r="G70" s="211"/>
      <c r="H70" s="211">
        <v>0</v>
      </c>
      <c r="I70" s="211"/>
      <c r="J70" s="211"/>
      <c r="K70" s="211">
        <v>0</v>
      </c>
      <c r="L70" s="211"/>
      <c r="M70" s="211"/>
      <c r="N70" s="211"/>
      <c r="O70" s="211"/>
      <c r="P70" s="211"/>
      <c r="Q70" s="211"/>
      <c r="R70" s="211"/>
      <c r="S70" s="211">
        <v>0</v>
      </c>
      <c r="T70" s="211">
        <v>0</v>
      </c>
      <c r="U70" s="211"/>
      <c r="V70" s="211">
        <f t="shared" si="11"/>
        <v>0</v>
      </c>
    </row>
    <row r="71" spans="1:22" ht="18.75">
      <c r="A71" s="209"/>
      <c r="B71" s="210" t="s">
        <v>353</v>
      </c>
      <c r="C71" s="211">
        <v>0</v>
      </c>
      <c r="D71" s="211">
        <v>0</v>
      </c>
      <c r="E71" s="211"/>
      <c r="F71" s="211"/>
      <c r="G71" s="211"/>
      <c r="H71" s="211">
        <v>0</v>
      </c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>
        <v>0</v>
      </c>
      <c r="T71" s="211">
        <v>0</v>
      </c>
      <c r="U71" s="211"/>
      <c r="V71" s="211">
        <f t="shared" si="11"/>
        <v>0</v>
      </c>
    </row>
    <row r="72" spans="1:22" ht="18.75">
      <c r="A72" s="209"/>
      <c r="B72" s="210" t="s">
        <v>354</v>
      </c>
      <c r="C72" s="211">
        <v>0</v>
      </c>
      <c r="D72" s="211">
        <v>0</v>
      </c>
      <c r="E72" s="211"/>
      <c r="F72" s="211"/>
      <c r="G72" s="211"/>
      <c r="H72" s="211"/>
      <c r="I72" s="211"/>
      <c r="J72" s="211"/>
      <c r="K72" s="211">
        <v>0</v>
      </c>
      <c r="L72" s="211"/>
      <c r="M72" s="211"/>
      <c r="N72" s="211"/>
      <c r="O72" s="211"/>
      <c r="P72" s="211"/>
      <c r="Q72" s="211"/>
      <c r="R72" s="211"/>
      <c r="S72" s="211">
        <v>0</v>
      </c>
      <c r="T72" s="211">
        <v>0</v>
      </c>
      <c r="U72" s="211"/>
      <c r="V72" s="211">
        <f t="shared" si="11"/>
        <v>0</v>
      </c>
    </row>
    <row r="73" spans="1:26" s="215" customFormat="1" ht="18.75">
      <c r="A73" s="212" t="s">
        <v>318</v>
      </c>
      <c r="B73" s="213"/>
      <c r="C73" s="214">
        <f aca="true" t="shared" si="12" ref="C73:U73">SUM(C60:C72)</f>
        <v>10898</v>
      </c>
      <c r="D73" s="214">
        <f>SUM(D60:D72)</f>
        <v>0</v>
      </c>
      <c r="E73" s="214">
        <f t="shared" si="12"/>
        <v>0</v>
      </c>
      <c r="F73" s="214">
        <f t="shared" si="12"/>
        <v>0</v>
      </c>
      <c r="G73" s="214">
        <f t="shared" si="12"/>
        <v>0</v>
      </c>
      <c r="H73" s="214">
        <f t="shared" si="12"/>
        <v>0</v>
      </c>
      <c r="I73" s="214">
        <f t="shared" si="12"/>
        <v>0</v>
      </c>
      <c r="J73" s="214">
        <f t="shared" si="12"/>
        <v>0</v>
      </c>
      <c r="K73" s="214">
        <f>SUM(K60:K72)</f>
        <v>13244</v>
      </c>
      <c r="L73" s="214">
        <f t="shared" si="12"/>
        <v>0</v>
      </c>
      <c r="M73" s="214">
        <f t="shared" si="12"/>
        <v>0</v>
      </c>
      <c r="N73" s="214">
        <f t="shared" si="12"/>
        <v>0</v>
      </c>
      <c r="O73" s="214">
        <f t="shared" si="12"/>
        <v>0</v>
      </c>
      <c r="P73" s="214">
        <f t="shared" si="12"/>
        <v>0</v>
      </c>
      <c r="Q73" s="214">
        <f t="shared" si="12"/>
        <v>0</v>
      </c>
      <c r="R73" s="214">
        <f t="shared" si="12"/>
        <v>0</v>
      </c>
      <c r="S73" s="214">
        <f>SUM(S60:S72)</f>
        <v>0</v>
      </c>
      <c r="T73" s="214">
        <f t="shared" si="12"/>
        <v>0</v>
      </c>
      <c r="U73" s="214">
        <f t="shared" si="12"/>
        <v>0</v>
      </c>
      <c r="V73" s="214">
        <f t="shared" si="11"/>
        <v>24142</v>
      </c>
      <c r="W73" s="160"/>
      <c r="X73" s="160"/>
      <c r="Y73" s="193"/>
      <c r="Z73" s="193"/>
    </row>
    <row r="74" spans="1:26" s="219" customFormat="1" ht="18.75">
      <c r="A74" s="216" t="s">
        <v>319</v>
      </c>
      <c r="B74" s="217"/>
      <c r="C74" s="218">
        <f>5656+10898</f>
        <v>16554</v>
      </c>
      <c r="D74" s="218"/>
      <c r="E74" s="218">
        <v>0</v>
      </c>
      <c r="F74" s="218">
        <v>0</v>
      </c>
      <c r="G74" s="218">
        <v>0</v>
      </c>
      <c r="H74" s="218"/>
      <c r="I74" s="218">
        <v>0</v>
      </c>
      <c r="J74" s="218"/>
      <c r="K74" s="218">
        <v>13244</v>
      </c>
      <c r="L74" s="218">
        <v>0</v>
      </c>
      <c r="M74" s="218"/>
      <c r="N74" s="218">
        <v>0</v>
      </c>
      <c r="O74" s="218">
        <v>0</v>
      </c>
      <c r="P74" s="218"/>
      <c r="Q74" s="218">
        <v>0</v>
      </c>
      <c r="R74" s="218">
        <v>0</v>
      </c>
      <c r="S74" s="218"/>
      <c r="T74" s="218"/>
      <c r="U74" s="218">
        <v>0</v>
      </c>
      <c r="V74" s="218">
        <f t="shared" si="11"/>
        <v>29798</v>
      </c>
      <c r="W74" s="195"/>
      <c r="X74" s="160"/>
      <c r="Y74" s="193"/>
      <c r="Z74" s="193"/>
    </row>
    <row r="75" spans="1:22" ht="18.75">
      <c r="A75" s="222" t="s">
        <v>16</v>
      </c>
      <c r="B75" s="22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</row>
    <row r="76" spans="1:22" ht="18.75">
      <c r="A76" s="209"/>
      <c r="B76" s="210" t="s">
        <v>355</v>
      </c>
      <c r="C76" s="211">
        <v>26843.31</v>
      </c>
      <c r="D76" s="211">
        <v>0</v>
      </c>
      <c r="E76" s="211"/>
      <c r="F76" s="211"/>
      <c r="G76" s="211"/>
      <c r="H76" s="211">
        <v>0</v>
      </c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>
        <v>88159.64</v>
      </c>
      <c r="U76" s="211"/>
      <c r="V76" s="211">
        <f aca="true" t="shared" si="13" ref="V76:V81">SUM(C76:U76)</f>
        <v>115002.95</v>
      </c>
    </row>
    <row r="77" spans="1:22" ht="18.75">
      <c r="A77" s="209"/>
      <c r="B77" s="210" t="s">
        <v>356</v>
      </c>
      <c r="C77" s="211">
        <v>0</v>
      </c>
      <c r="D77" s="211">
        <v>0</v>
      </c>
      <c r="E77" s="211"/>
      <c r="F77" s="211"/>
      <c r="G77" s="211"/>
      <c r="H77" s="211">
        <v>0</v>
      </c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>
        <v>0</v>
      </c>
      <c r="T77" s="211">
        <v>0</v>
      </c>
      <c r="U77" s="211"/>
      <c r="V77" s="211">
        <f t="shared" si="13"/>
        <v>0</v>
      </c>
    </row>
    <row r="78" spans="1:22" ht="18.75">
      <c r="A78" s="209"/>
      <c r="B78" s="210" t="s">
        <v>357</v>
      </c>
      <c r="C78" s="211">
        <f>4922+752.21</f>
        <v>5674.21</v>
      </c>
      <c r="D78" s="211">
        <v>0</v>
      </c>
      <c r="E78" s="211"/>
      <c r="F78" s="211"/>
      <c r="G78" s="211"/>
      <c r="H78" s="211">
        <v>0</v>
      </c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>
        <v>0</v>
      </c>
      <c r="T78" s="211">
        <v>0</v>
      </c>
      <c r="U78" s="211"/>
      <c r="V78" s="211">
        <f t="shared" si="13"/>
        <v>5674.21</v>
      </c>
    </row>
    <row r="79" spans="1:22" ht="18.75">
      <c r="A79" s="209"/>
      <c r="B79" s="210" t="s">
        <v>358</v>
      </c>
      <c r="C79" s="211">
        <v>0</v>
      </c>
      <c r="D79" s="211">
        <v>117</v>
      </c>
      <c r="E79" s="211"/>
      <c r="F79" s="211"/>
      <c r="G79" s="211"/>
      <c r="H79" s="211">
        <v>0</v>
      </c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>
        <v>0</v>
      </c>
      <c r="T79" s="211">
        <v>0</v>
      </c>
      <c r="U79" s="211"/>
      <c r="V79" s="211">
        <f t="shared" si="13"/>
        <v>117</v>
      </c>
    </row>
    <row r="80" spans="1:26" s="215" customFormat="1" ht="18.75">
      <c r="A80" s="212" t="s">
        <v>318</v>
      </c>
      <c r="B80" s="213"/>
      <c r="C80" s="214">
        <f aca="true" t="shared" si="14" ref="C80:U80">SUM(C76:C79)</f>
        <v>32517.52</v>
      </c>
      <c r="D80" s="214">
        <f t="shared" si="14"/>
        <v>117</v>
      </c>
      <c r="E80" s="214">
        <f t="shared" si="14"/>
        <v>0</v>
      </c>
      <c r="F80" s="214">
        <f t="shared" si="14"/>
        <v>0</v>
      </c>
      <c r="G80" s="214">
        <f t="shared" si="14"/>
        <v>0</v>
      </c>
      <c r="H80" s="214">
        <f t="shared" si="14"/>
        <v>0</v>
      </c>
      <c r="I80" s="214">
        <f t="shared" si="14"/>
        <v>0</v>
      </c>
      <c r="J80" s="214">
        <f t="shared" si="14"/>
        <v>0</v>
      </c>
      <c r="K80" s="214">
        <f t="shared" si="14"/>
        <v>0</v>
      </c>
      <c r="L80" s="214">
        <f t="shared" si="14"/>
        <v>0</v>
      </c>
      <c r="M80" s="214">
        <f t="shared" si="14"/>
        <v>0</v>
      </c>
      <c r="N80" s="214">
        <f t="shared" si="14"/>
        <v>0</v>
      </c>
      <c r="O80" s="214">
        <f t="shared" si="14"/>
        <v>0</v>
      </c>
      <c r="P80" s="214">
        <f t="shared" si="14"/>
        <v>0</v>
      </c>
      <c r="Q80" s="214">
        <f t="shared" si="14"/>
        <v>0</v>
      </c>
      <c r="R80" s="214">
        <f t="shared" si="14"/>
        <v>0</v>
      </c>
      <c r="S80" s="214">
        <f>SUM(S76:S79)</f>
        <v>0</v>
      </c>
      <c r="T80" s="214">
        <f t="shared" si="14"/>
        <v>88159.64</v>
      </c>
      <c r="U80" s="214">
        <f t="shared" si="14"/>
        <v>0</v>
      </c>
      <c r="V80" s="214">
        <f t="shared" si="13"/>
        <v>120794.16</v>
      </c>
      <c r="W80" s="160"/>
      <c r="X80" s="160"/>
      <c r="Y80" s="193"/>
      <c r="Z80" s="193"/>
    </row>
    <row r="81" spans="1:26" s="219" customFormat="1" ht="18.75">
      <c r="A81" s="216" t="s">
        <v>319</v>
      </c>
      <c r="B81" s="217"/>
      <c r="C81" s="218">
        <f>18470.78+32517.52</f>
        <v>50988.3</v>
      </c>
      <c r="D81" s="218">
        <f>355+117</f>
        <v>472</v>
      </c>
      <c r="E81" s="218">
        <v>0</v>
      </c>
      <c r="F81" s="218">
        <v>0</v>
      </c>
      <c r="G81" s="218">
        <v>0</v>
      </c>
      <c r="H81" s="218">
        <v>0</v>
      </c>
      <c r="I81" s="218">
        <v>0</v>
      </c>
      <c r="J81" s="218">
        <v>0</v>
      </c>
      <c r="K81" s="218">
        <v>0</v>
      </c>
      <c r="L81" s="218">
        <v>0</v>
      </c>
      <c r="M81" s="218">
        <v>0</v>
      </c>
      <c r="N81" s="218">
        <v>0</v>
      </c>
      <c r="O81" s="218">
        <v>0</v>
      </c>
      <c r="P81" s="218">
        <v>0</v>
      </c>
      <c r="Q81" s="218">
        <v>0</v>
      </c>
      <c r="R81" s="218">
        <v>0</v>
      </c>
      <c r="S81" s="218">
        <v>0</v>
      </c>
      <c r="T81" s="218">
        <f>34014.61+88159.64</f>
        <v>122174.25</v>
      </c>
      <c r="U81" s="218">
        <v>0</v>
      </c>
      <c r="V81" s="228">
        <f t="shared" si="13"/>
        <v>173634.55</v>
      </c>
      <c r="W81" s="193"/>
      <c r="X81" s="160"/>
      <c r="Y81" s="193"/>
      <c r="Z81" s="193"/>
    </row>
    <row r="82" spans="1:23" ht="18.75">
      <c r="A82" s="220" t="s">
        <v>17</v>
      </c>
      <c r="B82" s="210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195"/>
    </row>
    <row r="83" spans="1:22" ht="18.75">
      <c r="A83" s="209"/>
      <c r="B83" s="210" t="s">
        <v>359</v>
      </c>
      <c r="C83" s="211">
        <v>0</v>
      </c>
      <c r="D83" s="211">
        <v>0</v>
      </c>
      <c r="E83" s="211"/>
      <c r="F83" s="211"/>
      <c r="G83" s="211"/>
      <c r="H83" s="211">
        <v>0</v>
      </c>
      <c r="I83" s="211"/>
      <c r="J83" s="211"/>
      <c r="K83" s="211">
        <v>0</v>
      </c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>
        <f>SUM(C83:U83)</f>
        <v>0</v>
      </c>
    </row>
    <row r="84" spans="1:22" ht="18.75">
      <c r="A84" s="209"/>
      <c r="B84" s="210" t="s">
        <v>360</v>
      </c>
      <c r="C84" s="211">
        <v>0</v>
      </c>
      <c r="D84" s="211">
        <v>0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29"/>
      <c r="O84" s="211"/>
      <c r="P84" s="211"/>
      <c r="Q84" s="211"/>
      <c r="R84" s="211"/>
      <c r="S84" s="211"/>
      <c r="T84" s="211"/>
      <c r="U84" s="211"/>
      <c r="V84" s="211">
        <f>SUM(C84:U84)</f>
        <v>0</v>
      </c>
    </row>
    <row r="85" spans="1:22" ht="18.75">
      <c r="A85" s="209"/>
      <c r="B85" s="210" t="s">
        <v>361</v>
      </c>
      <c r="C85" s="211">
        <v>0</v>
      </c>
      <c r="D85" s="211">
        <v>0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>
        <f>SUM(C85:U85)</f>
        <v>0</v>
      </c>
    </row>
    <row r="86" spans="1:26" s="215" customFormat="1" ht="18.75">
      <c r="A86" s="212" t="s">
        <v>318</v>
      </c>
      <c r="B86" s="213"/>
      <c r="C86" s="214">
        <f aca="true" t="shared" si="15" ref="C86:U86">SUM(C83:C85)</f>
        <v>0</v>
      </c>
      <c r="D86" s="214">
        <f t="shared" si="15"/>
        <v>0</v>
      </c>
      <c r="E86" s="214">
        <f t="shared" si="15"/>
        <v>0</v>
      </c>
      <c r="F86" s="214">
        <f t="shared" si="15"/>
        <v>0</v>
      </c>
      <c r="G86" s="214">
        <f t="shared" si="15"/>
        <v>0</v>
      </c>
      <c r="H86" s="214">
        <f t="shared" si="15"/>
        <v>0</v>
      </c>
      <c r="I86" s="214">
        <f t="shared" si="15"/>
        <v>0</v>
      </c>
      <c r="J86" s="214">
        <f t="shared" si="15"/>
        <v>0</v>
      </c>
      <c r="K86" s="214">
        <f t="shared" si="15"/>
        <v>0</v>
      </c>
      <c r="L86" s="214">
        <f t="shared" si="15"/>
        <v>0</v>
      </c>
      <c r="M86" s="214">
        <f t="shared" si="15"/>
        <v>0</v>
      </c>
      <c r="N86" s="229"/>
      <c r="O86" s="214">
        <f t="shared" si="15"/>
        <v>0</v>
      </c>
      <c r="P86" s="214">
        <f t="shared" si="15"/>
        <v>0</v>
      </c>
      <c r="Q86" s="214">
        <f t="shared" si="15"/>
        <v>0</v>
      </c>
      <c r="R86" s="214">
        <f t="shared" si="15"/>
        <v>0</v>
      </c>
      <c r="S86" s="214">
        <f>SUM(S83:S85)</f>
        <v>0</v>
      </c>
      <c r="T86" s="214">
        <f t="shared" si="15"/>
        <v>0</v>
      </c>
      <c r="U86" s="214">
        <f t="shared" si="15"/>
        <v>0</v>
      </c>
      <c r="V86" s="214">
        <f>SUM(C86:U86)</f>
        <v>0</v>
      </c>
      <c r="W86" s="160"/>
      <c r="X86" s="160"/>
      <c r="Y86" s="193"/>
      <c r="Z86" s="193"/>
    </row>
    <row r="87" spans="1:26" s="219" customFormat="1" ht="18.75">
      <c r="A87" s="216" t="s">
        <v>319</v>
      </c>
      <c r="B87" s="217"/>
      <c r="C87" s="218">
        <v>0</v>
      </c>
      <c r="D87" s="218">
        <v>0</v>
      </c>
      <c r="E87" s="218">
        <v>0</v>
      </c>
      <c r="F87" s="218">
        <v>0</v>
      </c>
      <c r="G87" s="218">
        <v>0</v>
      </c>
      <c r="H87" s="218"/>
      <c r="I87" s="218">
        <v>0</v>
      </c>
      <c r="J87" s="218"/>
      <c r="K87" s="218"/>
      <c r="L87" s="218">
        <v>0</v>
      </c>
      <c r="M87" s="218">
        <v>0</v>
      </c>
      <c r="N87" s="218"/>
      <c r="O87" s="218">
        <v>0</v>
      </c>
      <c r="P87" s="218"/>
      <c r="Q87" s="218"/>
      <c r="R87" s="218">
        <v>0</v>
      </c>
      <c r="S87" s="218">
        <v>0</v>
      </c>
      <c r="T87" s="218">
        <v>0</v>
      </c>
      <c r="U87" s="218">
        <v>0</v>
      </c>
      <c r="V87" s="218">
        <f>SUM(C87:U87)</f>
        <v>0</v>
      </c>
      <c r="W87" s="193"/>
      <c r="X87" s="160"/>
      <c r="Y87" s="193"/>
      <c r="Z87" s="193"/>
    </row>
    <row r="88" spans="1:22" ht="18.75">
      <c r="A88" s="220" t="s">
        <v>18</v>
      </c>
      <c r="B88" s="210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8.75">
      <c r="A89" s="209"/>
      <c r="B89" s="210" t="s">
        <v>362</v>
      </c>
      <c r="C89" s="211">
        <v>0</v>
      </c>
      <c r="D89" s="211">
        <v>0</v>
      </c>
      <c r="E89" s="211"/>
      <c r="F89" s="211"/>
      <c r="G89" s="211"/>
      <c r="H89" s="211"/>
      <c r="I89" s="211"/>
      <c r="J89" s="211"/>
      <c r="K89" s="211">
        <v>0</v>
      </c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>
        <f aca="true" t="shared" si="16" ref="V89:V101">SUM(C89:U89)</f>
        <v>0</v>
      </c>
    </row>
    <row r="90" spans="1:22" ht="18.75">
      <c r="A90" s="209"/>
      <c r="B90" s="210" t="s">
        <v>363</v>
      </c>
      <c r="C90" s="211">
        <v>0</v>
      </c>
      <c r="D90" s="211">
        <v>0</v>
      </c>
      <c r="E90" s="211"/>
      <c r="F90" s="211"/>
      <c r="G90" s="211"/>
      <c r="H90" s="211"/>
      <c r="I90" s="211"/>
      <c r="J90" s="211"/>
      <c r="K90" s="211">
        <v>0</v>
      </c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>
        <f t="shared" si="16"/>
        <v>0</v>
      </c>
    </row>
    <row r="91" spans="1:22" ht="18.75">
      <c r="A91" s="209"/>
      <c r="B91" s="210" t="s">
        <v>364</v>
      </c>
      <c r="C91" s="211">
        <v>0</v>
      </c>
      <c r="D91" s="211">
        <v>0</v>
      </c>
      <c r="E91" s="211"/>
      <c r="F91" s="211"/>
      <c r="G91" s="211"/>
      <c r="H91" s="211"/>
      <c r="I91" s="211"/>
      <c r="J91" s="211"/>
      <c r="K91" s="211">
        <v>0</v>
      </c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>
        <f t="shared" si="16"/>
        <v>0</v>
      </c>
    </row>
    <row r="92" spans="1:22" ht="18.75">
      <c r="A92" s="209"/>
      <c r="B92" s="210" t="s">
        <v>365</v>
      </c>
      <c r="C92" s="211">
        <v>0</v>
      </c>
      <c r="D92" s="211">
        <v>0</v>
      </c>
      <c r="E92" s="211"/>
      <c r="F92" s="211"/>
      <c r="G92" s="211"/>
      <c r="H92" s="211"/>
      <c r="I92" s="211"/>
      <c r="J92" s="211"/>
      <c r="K92" s="211">
        <v>0</v>
      </c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>
        <f t="shared" si="16"/>
        <v>0</v>
      </c>
    </row>
    <row r="93" spans="1:22" ht="18.75">
      <c r="A93" s="209"/>
      <c r="B93" s="210" t="s">
        <v>366</v>
      </c>
      <c r="C93" s="211">
        <v>0</v>
      </c>
      <c r="D93" s="211">
        <v>0</v>
      </c>
      <c r="E93" s="211"/>
      <c r="F93" s="211"/>
      <c r="G93" s="211"/>
      <c r="H93" s="211"/>
      <c r="I93" s="211"/>
      <c r="J93" s="211"/>
      <c r="K93" s="211">
        <v>0</v>
      </c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>
        <f t="shared" si="16"/>
        <v>0</v>
      </c>
    </row>
    <row r="94" spans="1:22" ht="18.75">
      <c r="A94" s="209"/>
      <c r="B94" s="210" t="s">
        <v>367</v>
      </c>
      <c r="C94" s="211">
        <v>0</v>
      </c>
      <c r="D94" s="211">
        <v>0</v>
      </c>
      <c r="E94" s="211"/>
      <c r="F94" s="211"/>
      <c r="G94" s="211"/>
      <c r="H94" s="211"/>
      <c r="I94" s="211"/>
      <c r="J94" s="211"/>
      <c r="K94" s="211">
        <v>0</v>
      </c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>
        <f>SUM(C94:U94)</f>
        <v>0</v>
      </c>
    </row>
    <row r="95" spans="1:22" ht="18.75">
      <c r="A95" s="209"/>
      <c r="B95" s="210" t="s">
        <v>368</v>
      </c>
      <c r="C95" s="211">
        <v>0</v>
      </c>
      <c r="D95" s="211">
        <v>0</v>
      </c>
      <c r="E95" s="211"/>
      <c r="F95" s="211"/>
      <c r="G95" s="211"/>
      <c r="H95" s="211"/>
      <c r="I95" s="211"/>
      <c r="J95" s="211"/>
      <c r="K95" s="211">
        <v>0</v>
      </c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>
        <f t="shared" si="16"/>
        <v>0</v>
      </c>
    </row>
    <row r="96" spans="1:22" ht="18.75">
      <c r="A96" s="209"/>
      <c r="B96" s="210" t="s">
        <v>369</v>
      </c>
      <c r="C96" s="211">
        <v>0</v>
      </c>
      <c r="D96" s="211">
        <v>0</v>
      </c>
      <c r="E96" s="211"/>
      <c r="F96" s="211"/>
      <c r="G96" s="211"/>
      <c r="H96" s="211"/>
      <c r="I96" s="211"/>
      <c r="J96" s="211"/>
      <c r="K96" s="211">
        <v>0</v>
      </c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>
        <f t="shared" si="16"/>
        <v>0</v>
      </c>
    </row>
    <row r="97" spans="1:22" ht="18.75">
      <c r="A97" s="209"/>
      <c r="B97" s="210" t="s">
        <v>370</v>
      </c>
      <c r="C97" s="211">
        <v>0</v>
      </c>
      <c r="D97" s="211">
        <v>0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>
        <f>SUM(C97:U97)</f>
        <v>0</v>
      </c>
    </row>
    <row r="98" spans="1:22" ht="18.75">
      <c r="A98" s="209"/>
      <c r="B98" s="210" t="s">
        <v>371</v>
      </c>
      <c r="C98" s="211">
        <v>0</v>
      </c>
      <c r="D98" s="211">
        <v>0</v>
      </c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>
        <f t="shared" si="16"/>
        <v>0</v>
      </c>
    </row>
    <row r="99" spans="1:22" ht="18.75">
      <c r="A99" s="209"/>
      <c r="B99" s="210" t="s">
        <v>372</v>
      </c>
      <c r="C99" s="211"/>
      <c r="D99" s="211">
        <v>0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>
        <f t="shared" si="16"/>
        <v>0</v>
      </c>
    </row>
    <row r="100" spans="1:26" s="233" customFormat="1" ht="18.75">
      <c r="A100" s="230" t="s">
        <v>318</v>
      </c>
      <c r="B100" s="231"/>
      <c r="C100" s="232">
        <f>SUM(C89:C99)</f>
        <v>0</v>
      </c>
      <c r="D100" s="232">
        <f aca="true" t="shared" si="17" ref="D100:U100">SUM(D89:D99)</f>
        <v>0</v>
      </c>
      <c r="E100" s="232">
        <f t="shared" si="17"/>
        <v>0</v>
      </c>
      <c r="F100" s="232">
        <f t="shared" si="17"/>
        <v>0</v>
      </c>
      <c r="G100" s="232">
        <f t="shared" si="17"/>
        <v>0</v>
      </c>
      <c r="H100" s="232">
        <f t="shared" si="17"/>
        <v>0</v>
      </c>
      <c r="I100" s="232">
        <f t="shared" si="17"/>
        <v>0</v>
      </c>
      <c r="J100" s="232">
        <f t="shared" si="17"/>
        <v>0</v>
      </c>
      <c r="K100" s="232">
        <f t="shared" si="17"/>
        <v>0</v>
      </c>
      <c r="L100" s="232">
        <f t="shared" si="17"/>
        <v>0</v>
      </c>
      <c r="M100" s="232">
        <f t="shared" si="17"/>
        <v>0</v>
      </c>
      <c r="N100" s="232">
        <f t="shared" si="17"/>
        <v>0</v>
      </c>
      <c r="O100" s="232">
        <f t="shared" si="17"/>
        <v>0</v>
      </c>
      <c r="P100" s="232">
        <f t="shared" si="17"/>
        <v>0</v>
      </c>
      <c r="Q100" s="232">
        <f t="shared" si="17"/>
        <v>0</v>
      </c>
      <c r="R100" s="232">
        <f t="shared" si="17"/>
        <v>0</v>
      </c>
      <c r="S100" s="232">
        <f>SUM(S89:S99)</f>
        <v>0</v>
      </c>
      <c r="T100" s="232">
        <f t="shared" si="17"/>
        <v>0</v>
      </c>
      <c r="U100" s="232">
        <f t="shared" si="17"/>
        <v>0</v>
      </c>
      <c r="V100" s="232">
        <f t="shared" si="16"/>
        <v>0</v>
      </c>
      <c r="W100" s="160"/>
      <c r="X100" s="160"/>
      <c r="Y100" s="193"/>
      <c r="Z100" s="193"/>
    </row>
    <row r="101" spans="1:26" s="219" customFormat="1" ht="18.75">
      <c r="A101" s="216" t="s">
        <v>319</v>
      </c>
      <c r="B101" s="217"/>
      <c r="C101" s="218"/>
      <c r="D101" s="218"/>
      <c r="E101" s="218">
        <v>0</v>
      </c>
      <c r="F101" s="218"/>
      <c r="G101" s="218">
        <v>0</v>
      </c>
      <c r="H101" s="218"/>
      <c r="I101" s="218">
        <v>0</v>
      </c>
      <c r="J101" s="218"/>
      <c r="K101" s="218"/>
      <c r="L101" s="218">
        <v>0</v>
      </c>
      <c r="M101" s="218">
        <v>0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  <c r="S101" s="218"/>
      <c r="T101" s="218"/>
      <c r="U101" s="218">
        <v>0</v>
      </c>
      <c r="V101" s="234">
        <f t="shared" si="16"/>
        <v>0</v>
      </c>
      <c r="W101" s="193"/>
      <c r="X101" s="160"/>
      <c r="Y101" s="193"/>
      <c r="Z101" s="193"/>
    </row>
    <row r="102" spans="1:22" ht="18.75">
      <c r="A102" s="220" t="s">
        <v>19</v>
      </c>
      <c r="B102" s="210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8.75">
      <c r="A103" s="209"/>
      <c r="B103" s="210" t="s">
        <v>373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>
        <f>SUM(C103:U103)</f>
        <v>0</v>
      </c>
    </row>
    <row r="104" spans="1:22" ht="18.75">
      <c r="A104" s="209"/>
      <c r="B104" s="210" t="s">
        <v>374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>
        <f>SUM(C104:U104)</f>
        <v>0</v>
      </c>
    </row>
    <row r="105" spans="1:26" s="215" customFormat="1" ht="18.75">
      <c r="A105" s="212" t="s">
        <v>318</v>
      </c>
      <c r="B105" s="213"/>
      <c r="C105" s="214">
        <f>SUM(C103:C104)</f>
        <v>0</v>
      </c>
      <c r="D105" s="214">
        <f aca="true" t="shared" si="18" ref="D105:V105">SUM(D103:D104)</f>
        <v>0</v>
      </c>
      <c r="E105" s="214">
        <f t="shared" si="18"/>
        <v>0</v>
      </c>
      <c r="F105" s="214">
        <f t="shared" si="18"/>
        <v>0</v>
      </c>
      <c r="G105" s="214">
        <f t="shared" si="18"/>
        <v>0</v>
      </c>
      <c r="H105" s="214">
        <f t="shared" si="18"/>
        <v>0</v>
      </c>
      <c r="I105" s="214">
        <f t="shared" si="18"/>
        <v>0</v>
      </c>
      <c r="J105" s="214">
        <f t="shared" si="18"/>
        <v>0</v>
      </c>
      <c r="K105" s="214">
        <f t="shared" si="18"/>
        <v>0</v>
      </c>
      <c r="L105" s="214">
        <f t="shared" si="18"/>
        <v>0</v>
      </c>
      <c r="M105" s="214">
        <f t="shared" si="18"/>
        <v>0</v>
      </c>
      <c r="N105" s="214">
        <f t="shared" si="18"/>
        <v>0</v>
      </c>
      <c r="O105" s="214">
        <f t="shared" si="18"/>
        <v>0</v>
      </c>
      <c r="P105" s="214">
        <f t="shared" si="18"/>
        <v>0</v>
      </c>
      <c r="Q105" s="214">
        <f t="shared" si="18"/>
        <v>0</v>
      </c>
      <c r="R105" s="214">
        <f t="shared" si="18"/>
        <v>0</v>
      </c>
      <c r="S105" s="214">
        <f t="shared" si="18"/>
        <v>0</v>
      </c>
      <c r="T105" s="214">
        <f t="shared" si="18"/>
        <v>0</v>
      </c>
      <c r="U105" s="214">
        <f t="shared" si="18"/>
        <v>0</v>
      </c>
      <c r="V105" s="214">
        <f t="shared" si="18"/>
        <v>0</v>
      </c>
      <c r="W105" s="160"/>
      <c r="X105" s="160"/>
      <c r="Y105" s="193"/>
      <c r="Z105" s="193"/>
    </row>
    <row r="106" spans="1:26" s="219" customFormat="1" ht="18.75">
      <c r="A106" s="216" t="s">
        <v>319</v>
      </c>
      <c r="B106" s="217"/>
      <c r="C106" s="218">
        <v>0</v>
      </c>
      <c r="D106" s="218">
        <v>0</v>
      </c>
      <c r="E106" s="218">
        <v>0</v>
      </c>
      <c r="F106" s="218">
        <v>0</v>
      </c>
      <c r="G106" s="218">
        <v>0</v>
      </c>
      <c r="H106" s="218">
        <v>0</v>
      </c>
      <c r="I106" s="218">
        <v>0</v>
      </c>
      <c r="J106" s="218">
        <v>0</v>
      </c>
      <c r="K106" s="218">
        <v>0</v>
      </c>
      <c r="L106" s="218">
        <v>0</v>
      </c>
      <c r="M106" s="218">
        <v>0</v>
      </c>
      <c r="N106" s="218">
        <v>0</v>
      </c>
      <c r="O106" s="218">
        <v>0</v>
      </c>
      <c r="P106" s="218">
        <v>0</v>
      </c>
      <c r="Q106" s="218">
        <v>0</v>
      </c>
      <c r="R106" s="218"/>
      <c r="S106" s="218">
        <v>0</v>
      </c>
      <c r="T106" s="218">
        <v>0</v>
      </c>
      <c r="U106" s="218">
        <v>0</v>
      </c>
      <c r="V106" s="218">
        <f>SUM(C106:U106)</f>
        <v>0</v>
      </c>
      <c r="W106" s="193"/>
      <c r="X106" s="160"/>
      <c r="Y106" s="193"/>
      <c r="Z106" s="193"/>
    </row>
    <row r="107" spans="1:23" ht="18.75">
      <c r="A107" s="209"/>
      <c r="B107" s="235" t="s">
        <v>375</v>
      </c>
      <c r="C107" s="236">
        <f>+C23+C29+C40+C49+C57+C73+C80+C86+C100+C105</f>
        <v>614193.54</v>
      </c>
      <c r="D107" s="236">
        <f>+D23+D29+D40+D49+D57+D73+D80+D86+D100+D105</f>
        <v>150087</v>
      </c>
      <c r="E107" s="236">
        <f>+E23+E29+E40+E49+E57+E73+E80+E86+E100+E105</f>
        <v>0</v>
      </c>
      <c r="F107" s="236">
        <f aca="true" t="shared" si="19" ref="F107:V107">+F23+F29+F40+F49+F57+F73+F80+F86+F100+F105</f>
        <v>0</v>
      </c>
      <c r="G107" s="236">
        <f t="shared" si="19"/>
        <v>0</v>
      </c>
      <c r="H107" s="236">
        <f t="shared" si="19"/>
        <v>5928</v>
      </c>
      <c r="I107" s="236">
        <f t="shared" si="19"/>
        <v>0</v>
      </c>
      <c r="J107" s="236">
        <f t="shared" si="19"/>
        <v>0</v>
      </c>
      <c r="K107" s="236">
        <f t="shared" si="19"/>
        <v>105254</v>
      </c>
      <c r="L107" s="236">
        <f t="shared" si="19"/>
        <v>0</v>
      </c>
      <c r="M107" s="236">
        <f t="shared" si="19"/>
        <v>14166.25</v>
      </c>
      <c r="N107" s="236">
        <f t="shared" si="19"/>
        <v>0</v>
      </c>
      <c r="O107" s="236">
        <f t="shared" si="19"/>
        <v>0</v>
      </c>
      <c r="P107" s="236">
        <f t="shared" si="19"/>
        <v>0</v>
      </c>
      <c r="Q107" s="236">
        <f t="shared" si="19"/>
        <v>0</v>
      </c>
      <c r="R107" s="236">
        <f t="shared" si="19"/>
        <v>0</v>
      </c>
      <c r="S107" s="236">
        <f>+S23+S29+S40+S49+S57+S73+S80+S86+S100+S105</f>
        <v>0</v>
      </c>
      <c r="T107" s="236">
        <f t="shared" si="19"/>
        <v>88159.64</v>
      </c>
      <c r="U107" s="236">
        <f t="shared" si="19"/>
        <v>0</v>
      </c>
      <c r="V107" s="236">
        <f t="shared" si="19"/>
        <v>977788.43</v>
      </c>
      <c r="W107" s="195"/>
    </row>
    <row r="108" spans="1:23" ht="18.75">
      <c r="A108" s="237"/>
      <c r="B108" s="238" t="s">
        <v>376</v>
      </c>
      <c r="C108" s="239">
        <f aca="true" t="shared" si="20" ref="C108:V108">C24+C30+C41+C50+C58+C74+C81+C87+C101+C106</f>
        <v>1152750.32</v>
      </c>
      <c r="D108" s="239">
        <f t="shared" si="20"/>
        <v>292517</v>
      </c>
      <c r="E108" s="239">
        <f t="shared" si="20"/>
        <v>0</v>
      </c>
      <c r="F108" s="239">
        <f t="shared" si="20"/>
        <v>0</v>
      </c>
      <c r="G108" s="239">
        <f t="shared" si="20"/>
        <v>0</v>
      </c>
      <c r="H108" s="239">
        <f t="shared" si="20"/>
        <v>28888</v>
      </c>
      <c r="I108" s="239">
        <f t="shared" si="20"/>
        <v>0</v>
      </c>
      <c r="J108" s="239">
        <f t="shared" si="20"/>
        <v>0</v>
      </c>
      <c r="K108" s="239">
        <f t="shared" si="20"/>
        <v>184437</v>
      </c>
      <c r="L108" s="239">
        <f t="shared" si="20"/>
        <v>0</v>
      </c>
      <c r="M108" s="239">
        <f t="shared" si="20"/>
        <v>26022.5</v>
      </c>
      <c r="N108" s="239">
        <f t="shared" si="20"/>
        <v>0</v>
      </c>
      <c r="O108" s="239">
        <f t="shared" si="20"/>
        <v>0</v>
      </c>
      <c r="P108" s="239">
        <f t="shared" si="20"/>
        <v>0</v>
      </c>
      <c r="Q108" s="239">
        <f t="shared" si="20"/>
        <v>0</v>
      </c>
      <c r="R108" s="239">
        <f t="shared" si="20"/>
        <v>0</v>
      </c>
      <c r="S108" s="239">
        <f>S24+S30+S41+S50+S58+S74+S81+S87+S101+S106</f>
        <v>0</v>
      </c>
      <c r="T108" s="239">
        <f t="shared" si="20"/>
        <v>122174.25</v>
      </c>
      <c r="U108" s="239">
        <f t="shared" si="20"/>
        <v>0</v>
      </c>
      <c r="V108" s="239">
        <f t="shared" si="20"/>
        <v>1806789.07</v>
      </c>
      <c r="W108" s="195"/>
    </row>
    <row r="109" spans="1:23" ht="18.75">
      <c r="A109" s="194"/>
      <c r="B109" s="240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2"/>
      <c r="V109" s="242"/>
      <c r="W109" s="195"/>
    </row>
    <row r="110" spans="1:23" ht="18.75">
      <c r="A110" s="194"/>
      <c r="B110" s="240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2"/>
      <c r="V110" s="242"/>
      <c r="W110" s="195"/>
    </row>
    <row r="111" spans="1:23" ht="18.75">
      <c r="A111" s="194"/>
      <c r="B111" s="240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2"/>
      <c r="V111" s="242"/>
      <c r="W111" s="195"/>
    </row>
    <row r="112" spans="1:23" ht="18.75">
      <c r="A112" s="194"/>
      <c r="B112" s="240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2"/>
      <c r="V112" s="242"/>
      <c r="W112" s="195"/>
    </row>
    <row r="113" spans="2:24" s="197" customFormat="1" ht="19.5">
      <c r="B113" s="243"/>
      <c r="C113" s="243" t="s">
        <v>377</v>
      </c>
      <c r="D113" s="243"/>
      <c r="E113" s="244"/>
      <c r="F113" s="244"/>
      <c r="U113" s="245"/>
      <c r="V113" s="331"/>
      <c r="W113" s="246"/>
      <c r="X113" s="42"/>
    </row>
    <row r="114" spans="2:24" s="197" customFormat="1" ht="19.5">
      <c r="B114" s="243"/>
      <c r="C114" s="243" t="s">
        <v>378</v>
      </c>
      <c r="D114" s="243"/>
      <c r="E114" s="244"/>
      <c r="F114" s="244"/>
      <c r="V114" s="332"/>
      <c r="W114" s="246"/>
      <c r="X114" s="42"/>
    </row>
    <row r="115" spans="2:24" s="197" customFormat="1" ht="19.5">
      <c r="B115" s="243"/>
      <c r="C115" s="243" t="s">
        <v>379</v>
      </c>
      <c r="D115" s="243"/>
      <c r="E115" s="244"/>
      <c r="F115" s="244"/>
      <c r="V115" s="332"/>
      <c r="X115" s="42"/>
    </row>
    <row r="116" ht="18.75">
      <c r="V116" s="247"/>
    </row>
    <row r="117" ht="18.75">
      <c r="V117" s="195"/>
    </row>
    <row r="118" ht="18.75">
      <c r="V118" s="196"/>
    </row>
    <row r="119" ht="18.75">
      <c r="V119" s="196"/>
    </row>
    <row r="120" ht="18.75">
      <c r="V120" s="195"/>
    </row>
  </sheetData>
  <sheetProtection/>
  <mergeCells count="40">
    <mergeCell ref="U10:U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V5:V13"/>
    <mergeCell ref="O6:Q8"/>
    <mergeCell ref="O5:Q5"/>
    <mergeCell ref="S6:S8"/>
    <mergeCell ref="I10:I13"/>
    <mergeCell ref="N6:N8"/>
    <mergeCell ref="R6:R8"/>
    <mergeCell ref="P10:P13"/>
    <mergeCell ref="T6:T8"/>
    <mergeCell ref="U6:U8"/>
    <mergeCell ref="I5:J5"/>
    <mergeCell ref="T10:T13"/>
    <mergeCell ref="G5:H5"/>
    <mergeCell ref="H10:H13"/>
    <mergeCell ref="K5:M5"/>
    <mergeCell ref="J10:J13"/>
    <mergeCell ref="O10:O13"/>
    <mergeCell ref="Q10:Q13"/>
    <mergeCell ref="R10:R13"/>
    <mergeCell ref="S10:S13"/>
    <mergeCell ref="A2:V2"/>
    <mergeCell ref="A3:V3"/>
    <mergeCell ref="A5:B13"/>
    <mergeCell ref="C5:D5"/>
    <mergeCell ref="E5:F5"/>
    <mergeCell ref="C6:D8"/>
    <mergeCell ref="E6:F8"/>
    <mergeCell ref="G6:H8"/>
    <mergeCell ref="I6:J8"/>
    <mergeCell ref="K6:M8"/>
  </mergeCells>
  <printOptions/>
  <pageMargins left="0.46" right="0.15748031496062992" top="0.18" bottom="0.15748031496062992" header="0.11811023622047245" footer="0.1574803149606299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19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L105" sqref="L105"/>
    </sheetView>
  </sheetViews>
  <sheetFormatPr defaultColWidth="9.140625" defaultRowHeight="12.75"/>
  <cols>
    <col min="1" max="1" width="3.57421875" style="193" customWidth="1"/>
    <col min="2" max="2" width="42.8515625" style="193" customWidth="1"/>
    <col min="3" max="3" width="13.140625" style="193" customWidth="1"/>
    <col min="4" max="4" width="14.57421875" style="193" bestFit="1" customWidth="1"/>
    <col min="5" max="5" width="9.57421875" style="193" customWidth="1"/>
    <col min="6" max="6" width="11.140625" style="193" customWidth="1"/>
    <col min="7" max="7" width="9.8515625" style="193" customWidth="1"/>
    <col min="8" max="8" width="12.421875" style="193" customWidth="1"/>
    <col min="9" max="9" width="10.00390625" style="193" customWidth="1"/>
    <col min="10" max="10" width="12.421875" style="193" customWidth="1"/>
    <col min="11" max="11" width="13.421875" style="193" customWidth="1"/>
    <col min="12" max="12" width="9.140625" style="193" customWidth="1"/>
    <col min="13" max="13" width="11.00390625" style="193" bestFit="1" customWidth="1"/>
    <col min="14" max="14" width="12.140625" style="193" customWidth="1"/>
    <col min="15" max="15" width="11.140625" style="193" customWidth="1"/>
    <col min="16" max="16" width="11.8515625" style="193" customWidth="1"/>
    <col min="17" max="17" width="11.00390625" style="193" customWidth="1"/>
    <col min="18" max="18" width="12.421875" style="193" bestFit="1" customWidth="1"/>
    <col min="19" max="19" width="10.7109375" style="193" customWidth="1"/>
    <col min="20" max="20" width="11.00390625" style="193" customWidth="1"/>
    <col min="21" max="21" width="11.28125" style="193" customWidth="1"/>
    <col min="22" max="22" width="15.00390625" style="193" customWidth="1"/>
    <col min="23" max="23" width="13.57421875" style="193" bestFit="1" customWidth="1"/>
    <col min="24" max="24" width="13.57421875" style="160" bestFit="1" customWidth="1"/>
    <col min="25" max="16384" width="9.140625" style="193" customWidth="1"/>
  </cols>
  <sheetData>
    <row r="2" spans="1:22" ht="18.75">
      <c r="A2" s="438" t="s">
        <v>406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</row>
    <row r="3" spans="1:22" ht="18.75">
      <c r="A3" s="439" t="s">
        <v>415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</row>
    <row r="4" spans="1:22" ht="18.75">
      <c r="A4" s="201"/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4" s="204" customFormat="1" ht="18.75">
      <c r="A5" s="440" t="s">
        <v>405</v>
      </c>
      <c r="B5" s="441"/>
      <c r="C5" s="446" t="s">
        <v>253</v>
      </c>
      <c r="D5" s="446"/>
      <c r="E5" s="446" t="s">
        <v>254</v>
      </c>
      <c r="F5" s="446"/>
      <c r="G5" s="446" t="s">
        <v>255</v>
      </c>
      <c r="H5" s="446"/>
      <c r="I5" s="446" t="s">
        <v>256</v>
      </c>
      <c r="J5" s="446"/>
      <c r="K5" s="446" t="s">
        <v>257</v>
      </c>
      <c r="L5" s="446"/>
      <c r="M5" s="446"/>
      <c r="N5" s="203" t="s">
        <v>258</v>
      </c>
      <c r="O5" s="446" t="s">
        <v>259</v>
      </c>
      <c r="P5" s="446"/>
      <c r="Q5" s="446"/>
      <c r="R5" s="203" t="s">
        <v>260</v>
      </c>
      <c r="S5" s="203" t="s">
        <v>260</v>
      </c>
      <c r="T5" s="203" t="s">
        <v>261</v>
      </c>
      <c r="U5" s="203" t="s">
        <v>262</v>
      </c>
      <c r="V5" s="448" t="s">
        <v>85</v>
      </c>
      <c r="X5" s="192"/>
    </row>
    <row r="6" spans="1:22" ht="18.75">
      <c r="A6" s="442"/>
      <c r="B6" s="443"/>
      <c r="C6" s="447" t="s">
        <v>263</v>
      </c>
      <c r="D6" s="447"/>
      <c r="E6" s="448" t="s">
        <v>264</v>
      </c>
      <c r="F6" s="448"/>
      <c r="G6" s="448" t="s">
        <v>265</v>
      </c>
      <c r="H6" s="448"/>
      <c r="I6" s="447" t="s">
        <v>266</v>
      </c>
      <c r="J6" s="447"/>
      <c r="K6" s="447" t="s">
        <v>267</v>
      </c>
      <c r="L6" s="447"/>
      <c r="M6" s="447"/>
      <c r="N6" s="447" t="s">
        <v>268</v>
      </c>
      <c r="O6" s="447" t="s">
        <v>269</v>
      </c>
      <c r="P6" s="447"/>
      <c r="Q6" s="447"/>
      <c r="R6" s="449" t="s">
        <v>270</v>
      </c>
      <c r="S6" s="447" t="s">
        <v>271</v>
      </c>
      <c r="T6" s="447" t="s">
        <v>272</v>
      </c>
      <c r="U6" s="447" t="s">
        <v>273</v>
      </c>
      <c r="V6" s="448"/>
    </row>
    <row r="7" spans="1:22" ht="18.75">
      <c r="A7" s="442"/>
      <c r="B7" s="443"/>
      <c r="C7" s="447"/>
      <c r="D7" s="447"/>
      <c r="E7" s="448"/>
      <c r="F7" s="448"/>
      <c r="G7" s="448"/>
      <c r="H7" s="448"/>
      <c r="I7" s="447"/>
      <c r="J7" s="447"/>
      <c r="K7" s="447"/>
      <c r="L7" s="447"/>
      <c r="M7" s="447"/>
      <c r="N7" s="447"/>
      <c r="O7" s="447"/>
      <c r="P7" s="447"/>
      <c r="Q7" s="447"/>
      <c r="R7" s="449"/>
      <c r="S7" s="447"/>
      <c r="T7" s="447"/>
      <c r="U7" s="447"/>
      <c r="V7" s="448"/>
    </row>
    <row r="8" spans="1:22" ht="18.75">
      <c r="A8" s="442"/>
      <c r="B8" s="443"/>
      <c r="C8" s="447"/>
      <c r="D8" s="447"/>
      <c r="E8" s="448"/>
      <c r="F8" s="448"/>
      <c r="G8" s="448"/>
      <c r="H8" s="448"/>
      <c r="I8" s="447"/>
      <c r="J8" s="447"/>
      <c r="K8" s="447"/>
      <c r="L8" s="447"/>
      <c r="M8" s="447"/>
      <c r="N8" s="447"/>
      <c r="O8" s="447"/>
      <c r="P8" s="447"/>
      <c r="Q8" s="447"/>
      <c r="R8" s="449"/>
      <c r="S8" s="447"/>
      <c r="T8" s="447"/>
      <c r="U8" s="447"/>
      <c r="V8" s="448"/>
    </row>
    <row r="9" spans="1:24" s="204" customFormat="1" ht="18.75">
      <c r="A9" s="442"/>
      <c r="B9" s="443"/>
      <c r="C9" s="203" t="s">
        <v>274</v>
      </c>
      <c r="D9" s="203" t="s">
        <v>275</v>
      </c>
      <c r="E9" s="203" t="s">
        <v>276</v>
      </c>
      <c r="F9" s="203" t="s">
        <v>277</v>
      </c>
      <c r="G9" s="203" t="s">
        <v>278</v>
      </c>
      <c r="H9" s="203" t="s">
        <v>279</v>
      </c>
      <c r="I9" s="203" t="s">
        <v>280</v>
      </c>
      <c r="J9" s="203" t="s">
        <v>281</v>
      </c>
      <c r="K9" s="203" t="s">
        <v>282</v>
      </c>
      <c r="L9" s="203" t="s">
        <v>283</v>
      </c>
      <c r="M9" s="203" t="s">
        <v>284</v>
      </c>
      <c r="N9" s="203" t="s">
        <v>285</v>
      </c>
      <c r="O9" s="203" t="s">
        <v>286</v>
      </c>
      <c r="P9" s="203" t="s">
        <v>287</v>
      </c>
      <c r="Q9" s="203" t="s">
        <v>288</v>
      </c>
      <c r="R9" s="203" t="s">
        <v>289</v>
      </c>
      <c r="S9" s="203" t="s">
        <v>289</v>
      </c>
      <c r="T9" s="203" t="s">
        <v>290</v>
      </c>
      <c r="U9" s="203" t="s">
        <v>291</v>
      </c>
      <c r="V9" s="448"/>
      <c r="X9" s="192"/>
    </row>
    <row r="10" spans="1:24" s="205" customFormat="1" ht="18.75">
      <c r="A10" s="442"/>
      <c r="B10" s="443"/>
      <c r="C10" s="447" t="s">
        <v>292</v>
      </c>
      <c r="D10" s="447" t="s">
        <v>293</v>
      </c>
      <c r="E10" s="447" t="s">
        <v>294</v>
      </c>
      <c r="F10" s="447" t="s">
        <v>295</v>
      </c>
      <c r="G10" s="447" t="s">
        <v>296</v>
      </c>
      <c r="H10" s="447" t="s">
        <v>297</v>
      </c>
      <c r="I10" s="447" t="s">
        <v>298</v>
      </c>
      <c r="J10" s="447" t="s">
        <v>299</v>
      </c>
      <c r="K10" s="447" t="s">
        <v>300</v>
      </c>
      <c r="L10" s="447" t="s">
        <v>301</v>
      </c>
      <c r="M10" s="447" t="s">
        <v>302</v>
      </c>
      <c r="N10" s="447" t="s">
        <v>303</v>
      </c>
      <c r="O10" s="447" t="s">
        <v>304</v>
      </c>
      <c r="P10" s="447" t="s">
        <v>305</v>
      </c>
      <c r="Q10" s="447" t="s">
        <v>306</v>
      </c>
      <c r="R10" s="447" t="s">
        <v>307</v>
      </c>
      <c r="S10" s="447" t="s">
        <v>308</v>
      </c>
      <c r="T10" s="447" t="s">
        <v>309</v>
      </c>
      <c r="U10" s="447" t="s">
        <v>12</v>
      </c>
      <c r="V10" s="448"/>
      <c r="X10" s="192"/>
    </row>
    <row r="11" spans="1:24" s="205" customFormat="1" ht="18.75">
      <c r="A11" s="442"/>
      <c r="B11" s="443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8"/>
      <c r="X11" s="192"/>
    </row>
    <row r="12" spans="1:22" ht="18.75">
      <c r="A12" s="442"/>
      <c r="B12" s="443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8"/>
    </row>
    <row r="13" spans="1:22" ht="18.75">
      <c r="A13" s="444"/>
      <c r="B13" s="445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8"/>
    </row>
    <row r="14" spans="1:23" ht="18.75">
      <c r="A14" s="206" t="s">
        <v>12</v>
      </c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195"/>
    </row>
    <row r="15" spans="1:23" ht="18.75">
      <c r="A15" s="209"/>
      <c r="B15" s="210" t="s">
        <v>310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>
        <f aca="true" t="shared" si="0" ref="V15:V22">SUM(C15:U15)</f>
        <v>0</v>
      </c>
      <c r="W15" s="195"/>
    </row>
    <row r="16" spans="1:23" ht="18.75">
      <c r="A16" s="209"/>
      <c r="B16" s="210" t="s">
        <v>311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>
        <v>0</v>
      </c>
      <c r="V16" s="211">
        <f t="shared" si="0"/>
        <v>0</v>
      </c>
      <c r="W16" s="195"/>
    </row>
    <row r="17" spans="1:23" ht="18.75">
      <c r="A17" s="209"/>
      <c r="B17" s="210" t="s">
        <v>312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>
        <v>0</v>
      </c>
      <c r="V17" s="211">
        <f t="shared" si="0"/>
        <v>0</v>
      </c>
      <c r="W17" s="195"/>
    </row>
    <row r="18" spans="1:23" ht="18.75">
      <c r="A18" s="209"/>
      <c r="B18" s="210" t="s">
        <v>313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>
        <v>0</v>
      </c>
      <c r="V18" s="211">
        <f t="shared" si="0"/>
        <v>0</v>
      </c>
      <c r="W18" s="195"/>
    </row>
    <row r="19" spans="1:23" ht="18.75">
      <c r="A19" s="209"/>
      <c r="B19" s="210" t="s">
        <v>314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>
        <v>0</v>
      </c>
      <c r="V19" s="211">
        <f t="shared" si="0"/>
        <v>0</v>
      </c>
      <c r="W19" s="195"/>
    </row>
    <row r="20" spans="1:23" ht="18.75">
      <c r="A20" s="209"/>
      <c r="B20" s="210" t="s">
        <v>315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>
        <f t="shared" si="0"/>
        <v>0</v>
      </c>
      <c r="W20" s="195"/>
    </row>
    <row r="21" spans="1:23" ht="18.75">
      <c r="A21" s="209"/>
      <c r="B21" s="210" t="s">
        <v>316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>
        <v>0</v>
      </c>
      <c r="V21" s="211">
        <f t="shared" si="0"/>
        <v>0</v>
      </c>
      <c r="W21" s="195"/>
    </row>
    <row r="22" spans="1:23" ht="18.75">
      <c r="A22" s="209"/>
      <c r="B22" s="210" t="s">
        <v>317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>
        <f t="shared" si="0"/>
        <v>0</v>
      </c>
      <c r="W22" s="195"/>
    </row>
    <row r="23" spans="1:26" s="215" customFormat="1" ht="18.75">
      <c r="A23" s="212" t="s">
        <v>318</v>
      </c>
      <c r="B23" s="213"/>
      <c r="C23" s="214">
        <f aca="true" t="shared" si="1" ref="C23:V23">SUM(C15:C22)</f>
        <v>0</v>
      </c>
      <c r="D23" s="214">
        <f t="shared" si="1"/>
        <v>0</v>
      </c>
      <c r="E23" s="214">
        <f t="shared" si="1"/>
        <v>0</v>
      </c>
      <c r="F23" s="214">
        <f t="shared" si="1"/>
        <v>0</v>
      </c>
      <c r="G23" s="214">
        <f t="shared" si="1"/>
        <v>0</v>
      </c>
      <c r="H23" s="214">
        <f t="shared" si="1"/>
        <v>0</v>
      </c>
      <c r="I23" s="214">
        <f t="shared" si="1"/>
        <v>0</v>
      </c>
      <c r="J23" s="214">
        <f t="shared" si="1"/>
        <v>0</v>
      </c>
      <c r="K23" s="214">
        <f t="shared" si="1"/>
        <v>0</v>
      </c>
      <c r="L23" s="214">
        <f t="shared" si="1"/>
        <v>0</v>
      </c>
      <c r="M23" s="214">
        <f t="shared" si="1"/>
        <v>0</v>
      </c>
      <c r="N23" s="214">
        <f t="shared" si="1"/>
        <v>0</v>
      </c>
      <c r="O23" s="214">
        <f t="shared" si="1"/>
        <v>0</v>
      </c>
      <c r="P23" s="214">
        <f t="shared" si="1"/>
        <v>0</v>
      </c>
      <c r="Q23" s="214">
        <f t="shared" si="1"/>
        <v>0</v>
      </c>
      <c r="R23" s="214">
        <f t="shared" si="1"/>
        <v>0</v>
      </c>
      <c r="S23" s="214">
        <f>SUM(S15:S22)</f>
        <v>0</v>
      </c>
      <c r="T23" s="214">
        <f t="shared" si="1"/>
        <v>0</v>
      </c>
      <c r="U23" s="214">
        <f t="shared" si="1"/>
        <v>0</v>
      </c>
      <c r="V23" s="214">
        <f t="shared" si="1"/>
        <v>0</v>
      </c>
      <c r="W23" s="195"/>
      <c r="X23" s="160"/>
      <c r="Y23" s="193"/>
      <c r="Z23" s="193"/>
    </row>
    <row r="24" spans="1:26" s="219" customFormat="1" ht="18.75">
      <c r="A24" s="216" t="s">
        <v>319</v>
      </c>
      <c r="B24" s="217"/>
      <c r="C24" s="218">
        <f aca="true" t="shared" si="2" ref="C24:T24">+C23</f>
        <v>0</v>
      </c>
      <c r="D24" s="218">
        <f t="shared" si="2"/>
        <v>0</v>
      </c>
      <c r="E24" s="218">
        <f t="shared" si="2"/>
        <v>0</v>
      </c>
      <c r="F24" s="218">
        <f t="shared" si="2"/>
        <v>0</v>
      </c>
      <c r="G24" s="218">
        <f t="shared" si="2"/>
        <v>0</v>
      </c>
      <c r="H24" s="218">
        <f t="shared" si="2"/>
        <v>0</v>
      </c>
      <c r="I24" s="218">
        <f t="shared" si="2"/>
        <v>0</v>
      </c>
      <c r="J24" s="218">
        <f t="shared" si="2"/>
        <v>0</v>
      </c>
      <c r="K24" s="218">
        <f t="shared" si="2"/>
        <v>0</v>
      </c>
      <c r="L24" s="218">
        <f t="shared" si="2"/>
        <v>0</v>
      </c>
      <c r="M24" s="218">
        <f t="shared" si="2"/>
        <v>0</v>
      </c>
      <c r="N24" s="218">
        <f t="shared" si="2"/>
        <v>0</v>
      </c>
      <c r="O24" s="218">
        <f t="shared" si="2"/>
        <v>0</v>
      </c>
      <c r="P24" s="218">
        <f t="shared" si="2"/>
        <v>0</v>
      </c>
      <c r="Q24" s="218">
        <f t="shared" si="2"/>
        <v>0</v>
      </c>
      <c r="R24" s="218">
        <f t="shared" si="2"/>
        <v>0</v>
      </c>
      <c r="S24" s="218">
        <f>+S23</f>
        <v>0</v>
      </c>
      <c r="T24" s="218">
        <f t="shared" si="2"/>
        <v>0</v>
      </c>
      <c r="U24" s="218"/>
      <c r="V24" s="218">
        <f>SUM(C24:U24)</f>
        <v>0</v>
      </c>
      <c r="W24" s="195"/>
      <c r="X24" s="160"/>
      <c r="Y24" s="193"/>
      <c r="Z24" s="193"/>
    </row>
    <row r="25" spans="1:23" ht="18.75">
      <c r="A25" s="220" t="s">
        <v>56</v>
      </c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195"/>
    </row>
    <row r="26" spans="1:23" ht="18.75">
      <c r="A26" s="209"/>
      <c r="B26" s="210" t="s">
        <v>320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>
        <f>SUM(C26:U26)</f>
        <v>0</v>
      </c>
      <c r="W26" s="195"/>
    </row>
    <row r="27" spans="1:23" ht="18.75">
      <c r="A27" s="209"/>
      <c r="B27" s="210" t="s">
        <v>321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>
        <f>SUM(C27:U27)</f>
        <v>0</v>
      </c>
      <c r="W27" s="195"/>
    </row>
    <row r="28" spans="1:23" ht="18.75">
      <c r="A28" s="209"/>
      <c r="B28" s="210" t="s">
        <v>322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>
        <f>SUM(C28:U28)</f>
        <v>0</v>
      </c>
      <c r="W28" s="195"/>
    </row>
    <row r="29" spans="1:26" s="215" customFormat="1" ht="18.75">
      <c r="A29" s="212" t="s">
        <v>318</v>
      </c>
      <c r="B29" s="213"/>
      <c r="C29" s="214">
        <f aca="true" t="shared" si="3" ref="C29:V29">SUM(C26:C28)</f>
        <v>0</v>
      </c>
      <c r="D29" s="214">
        <f t="shared" si="3"/>
        <v>0</v>
      </c>
      <c r="E29" s="214">
        <f t="shared" si="3"/>
        <v>0</v>
      </c>
      <c r="F29" s="214">
        <f t="shared" si="3"/>
        <v>0</v>
      </c>
      <c r="G29" s="214">
        <f t="shared" si="3"/>
        <v>0</v>
      </c>
      <c r="H29" s="214">
        <f t="shared" si="3"/>
        <v>0</v>
      </c>
      <c r="I29" s="214">
        <f t="shared" si="3"/>
        <v>0</v>
      </c>
      <c r="J29" s="214">
        <f t="shared" si="3"/>
        <v>0</v>
      </c>
      <c r="K29" s="214">
        <f t="shared" si="3"/>
        <v>0</v>
      </c>
      <c r="L29" s="214">
        <f t="shared" si="3"/>
        <v>0</v>
      </c>
      <c r="M29" s="214">
        <f t="shared" si="3"/>
        <v>0</v>
      </c>
      <c r="N29" s="214">
        <f t="shared" si="3"/>
        <v>0</v>
      </c>
      <c r="O29" s="214">
        <f t="shared" si="3"/>
        <v>0</v>
      </c>
      <c r="P29" s="214">
        <f t="shared" si="3"/>
        <v>0</v>
      </c>
      <c r="Q29" s="214">
        <f t="shared" si="3"/>
        <v>0</v>
      </c>
      <c r="R29" s="214">
        <f t="shared" si="3"/>
        <v>0</v>
      </c>
      <c r="S29" s="214">
        <f>SUM(S26:S28)</f>
        <v>0</v>
      </c>
      <c r="T29" s="214">
        <f t="shared" si="3"/>
        <v>0</v>
      </c>
      <c r="U29" s="214">
        <f t="shared" si="3"/>
        <v>0</v>
      </c>
      <c r="V29" s="214">
        <f t="shared" si="3"/>
        <v>0</v>
      </c>
      <c r="W29" s="221"/>
      <c r="X29" s="160"/>
      <c r="Y29" s="193"/>
      <c r="Z29" s="193"/>
    </row>
    <row r="30" spans="1:26" s="219" customFormat="1" ht="18.75">
      <c r="A30" s="216" t="s">
        <v>319</v>
      </c>
      <c r="B30" s="217"/>
      <c r="C30" s="218"/>
      <c r="D30" s="218">
        <f aca="true" t="shared" si="4" ref="D30:U30">+D29</f>
        <v>0</v>
      </c>
      <c r="E30" s="218">
        <f t="shared" si="4"/>
        <v>0</v>
      </c>
      <c r="F30" s="218"/>
      <c r="G30" s="218">
        <f t="shared" si="4"/>
        <v>0</v>
      </c>
      <c r="H30" s="218">
        <f t="shared" si="4"/>
        <v>0</v>
      </c>
      <c r="I30" s="218">
        <f t="shared" si="4"/>
        <v>0</v>
      </c>
      <c r="J30" s="218">
        <f t="shared" si="4"/>
        <v>0</v>
      </c>
      <c r="K30" s="218">
        <f t="shared" si="4"/>
        <v>0</v>
      </c>
      <c r="L30" s="218">
        <f t="shared" si="4"/>
        <v>0</v>
      </c>
      <c r="M30" s="218">
        <f t="shared" si="4"/>
        <v>0</v>
      </c>
      <c r="N30" s="218">
        <f t="shared" si="4"/>
        <v>0</v>
      </c>
      <c r="O30" s="218">
        <f t="shared" si="4"/>
        <v>0</v>
      </c>
      <c r="P30" s="218">
        <f t="shared" si="4"/>
        <v>0</v>
      </c>
      <c r="Q30" s="218">
        <f t="shared" si="4"/>
        <v>0</v>
      </c>
      <c r="R30" s="218">
        <f t="shared" si="4"/>
        <v>0</v>
      </c>
      <c r="S30" s="218">
        <f>+S29</f>
        <v>0</v>
      </c>
      <c r="T30" s="218">
        <f t="shared" si="4"/>
        <v>0</v>
      </c>
      <c r="U30" s="218">
        <f t="shared" si="4"/>
        <v>0</v>
      </c>
      <c r="V30" s="218">
        <f>SUM(C30:U30)</f>
        <v>0</v>
      </c>
      <c r="W30" s="221"/>
      <c r="X30" s="160"/>
      <c r="Y30" s="193"/>
      <c r="Z30" s="193"/>
    </row>
    <row r="31" spans="1:23" ht="18.75">
      <c r="A31" s="220" t="s">
        <v>57</v>
      </c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21"/>
    </row>
    <row r="32" spans="1:23" ht="18.75">
      <c r="A32" s="209"/>
      <c r="B32" s="210" t="s">
        <v>323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>
        <f aca="true" t="shared" si="5" ref="V32:V41">SUM(C32:U32)</f>
        <v>0</v>
      </c>
      <c r="W32" s="221"/>
    </row>
    <row r="33" spans="1:23" ht="18.75">
      <c r="A33" s="209"/>
      <c r="B33" s="210" t="s">
        <v>324</v>
      </c>
      <c r="C33" s="211"/>
      <c r="D33" s="211">
        <v>0</v>
      </c>
      <c r="E33" s="211"/>
      <c r="F33" s="211"/>
      <c r="G33" s="211"/>
      <c r="H33" s="211"/>
      <c r="I33" s="211"/>
      <c r="J33" s="211"/>
      <c r="K33" s="211">
        <v>0</v>
      </c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>
        <f t="shared" si="5"/>
        <v>0</v>
      </c>
      <c r="W33" s="195"/>
    </row>
    <row r="34" spans="1:23" ht="18.75">
      <c r="A34" s="209"/>
      <c r="B34" s="210" t="s">
        <v>325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>
        <f t="shared" si="5"/>
        <v>0</v>
      </c>
      <c r="W34" s="195"/>
    </row>
    <row r="35" spans="1:23" ht="18.75">
      <c r="A35" s="209"/>
      <c r="B35" s="210" t="s">
        <v>326</v>
      </c>
      <c r="C35" s="211"/>
      <c r="D35" s="211"/>
      <c r="E35" s="211"/>
      <c r="F35" s="211"/>
      <c r="G35" s="211"/>
      <c r="H35" s="211"/>
      <c r="I35" s="211"/>
      <c r="J35" s="211"/>
      <c r="K35" s="211">
        <v>0</v>
      </c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>
        <f t="shared" si="5"/>
        <v>0</v>
      </c>
      <c r="W35" s="195"/>
    </row>
    <row r="36" spans="1:23" ht="18.75">
      <c r="A36" s="209"/>
      <c r="B36" s="210" t="s">
        <v>327</v>
      </c>
      <c r="C36" s="211">
        <v>0</v>
      </c>
      <c r="D36" s="211">
        <v>0</v>
      </c>
      <c r="E36" s="211"/>
      <c r="F36" s="211"/>
      <c r="G36" s="211"/>
      <c r="H36" s="211">
        <v>0</v>
      </c>
      <c r="I36" s="211"/>
      <c r="J36" s="211"/>
      <c r="K36" s="211">
        <v>0</v>
      </c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>
        <f t="shared" si="5"/>
        <v>0</v>
      </c>
      <c r="W36" s="195"/>
    </row>
    <row r="37" spans="1:23" ht="18.75">
      <c r="A37" s="209"/>
      <c r="B37" s="210" t="s">
        <v>328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>
        <f t="shared" si="5"/>
        <v>0</v>
      </c>
      <c r="W37" s="195"/>
    </row>
    <row r="38" spans="1:23" ht="18.75">
      <c r="A38" s="209"/>
      <c r="B38" s="210" t="s">
        <v>329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>
        <f t="shared" si="5"/>
        <v>0</v>
      </c>
      <c r="W38" s="195"/>
    </row>
    <row r="39" spans="1:23" ht="18.75">
      <c r="A39" s="209"/>
      <c r="B39" s="210" t="s">
        <v>330</v>
      </c>
      <c r="C39" s="211"/>
      <c r="D39" s="211">
        <v>0</v>
      </c>
      <c r="E39" s="211"/>
      <c r="F39" s="211"/>
      <c r="G39" s="211"/>
      <c r="H39" s="211"/>
      <c r="I39" s="211"/>
      <c r="J39" s="211"/>
      <c r="K39" s="211">
        <v>0</v>
      </c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>
        <f>SUM(C39:U39)</f>
        <v>0</v>
      </c>
      <c r="W39" s="195"/>
    </row>
    <row r="40" spans="1:26" s="215" customFormat="1" ht="18.75">
      <c r="A40" s="212" t="s">
        <v>318</v>
      </c>
      <c r="B40" s="213"/>
      <c r="C40" s="214">
        <f>SUM(C32:C39)</f>
        <v>0</v>
      </c>
      <c r="D40" s="214">
        <f aca="true" t="shared" si="6" ref="D40:U40">SUM(D32:D39)</f>
        <v>0</v>
      </c>
      <c r="E40" s="214">
        <f t="shared" si="6"/>
        <v>0</v>
      </c>
      <c r="F40" s="214">
        <f t="shared" si="6"/>
        <v>0</v>
      </c>
      <c r="G40" s="214">
        <f t="shared" si="6"/>
        <v>0</v>
      </c>
      <c r="H40" s="214">
        <f t="shared" si="6"/>
        <v>0</v>
      </c>
      <c r="I40" s="214">
        <f t="shared" si="6"/>
        <v>0</v>
      </c>
      <c r="J40" s="214">
        <f t="shared" si="6"/>
        <v>0</v>
      </c>
      <c r="K40" s="214">
        <f t="shared" si="6"/>
        <v>0</v>
      </c>
      <c r="L40" s="214">
        <f t="shared" si="6"/>
        <v>0</v>
      </c>
      <c r="M40" s="214">
        <f t="shared" si="6"/>
        <v>0</v>
      </c>
      <c r="N40" s="214">
        <f t="shared" si="6"/>
        <v>0</v>
      </c>
      <c r="O40" s="214">
        <f t="shared" si="6"/>
        <v>0</v>
      </c>
      <c r="P40" s="214">
        <f t="shared" si="6"/>
        <v>0</v>
      </c>
      <c r="Q40" s="214">
        <f t="shared" si="6"/>
        <v>0</v>
      </c>
      <c r="R40" s="214">
        <f t="shared" si="6"/>
        <v>0</v>
      </c>
      <c r="S40" s="214">
        <f>SUM(S32:S39)</f>
        <v>0</v>
      </c>
      <c r="T40" s="214">
        <f t="shared" si="6"/>
        <v>0</v>
      </c>
      <c r="U40" s="214">
        <f t="shared" si="6"/>
        <v>0</v>
      </c>
      <c r="V40" s="214">
        <f t="shared" si="5"/>
        <v>0</v>
      </c>
      <c r="W40" s="195"/>
      <c r="X40" s="160"/>
      <c r="Y40" s="193"/>
      <c r="Z40" s="193"/>
    </row>
    <row r="41" spans="1:26" s="219" customFormat="1" ht="18.75">
      <c r="A41" s="216" t="s">
        <v>319</v>
      </c>
      <c r="B41" s="217"/>
      <c r="C41" s="218"/>
      <c r="D41" s="218"/>
      <c r="E41" s="218">
        <v>0</v>
      </c>
      <c r="F41" s="218"/>
      <c r="G41" s="218">
        <f>1770-1770</f>
        <v>0</v>
      </c>
      <c r="H41" s="218">
        <v>0</v>
      </c>
      <c r="I41" s="218">
        <v>0</v>
      </c>
      <c r="J41" s="218">
        <v>0</v>
      </c>
      <c r="K41" s="218"/>
      <c r="L41" s="218">
        <v>0</v>
      </c>
      <c r="M41" s="218">
        <v>0</v>
      </c>
      <c r="N41" s="218">
        <v>0</v>
      </c>
      <c r="O41" s="218">
        <v>0</v>
      </c>
      <c r="P41" s="218">
        <v>0</v>
      </c>
      <c r="Q41" s="218">
        <v>0</v>
      </c>
      <c r="R41" s="218">
        <v>0</v>
      </c>
      <c r="S41" s="218">
        <v>0</v>
      </c>
      <c r="T41" s="218">
        <v>0</v>
      </c>
      <c r="U41" s="218">
        <v>0</v>
      </c>
      <c r="V41" s="218">
        <f t="shared" si="5"/>
        <v>0</v>
      </c>
      <c r="W41" s="195"/>
      <c r="X41" s="160"/>
      <c r="Y41" s="193"/>
      <c r="Z41" s="193"/>
    </row>
    <row r="42" spans="1:23" ht="18.75">
      <c r="A42" s="222" t="s">
        <v>13</v>
      </c>
      <c r="B42" s="22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95"/>
    </row>
    <row r="43" spans="1:23" ht="18.75">
      <c r="A43" s="209"/>
      <c r="B43" s="210" t="s">
        <v>331</v>
      </c>
      <c r="C43" s="211">
        <v>0</v>
      </c>
      <c r="D43" s="211">
        <v>0</v>
      </c>
      <c r="E43" s="211"/>
      <c r="F43" s="211"/>
      <c r="G43" s="211"/>
      <c r="H43" s="211">
        <v>0</v>
      </c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>
        <f aca="true" t="shared" si="7" ref="V43:V50">SUM(C43:U43)</f>
        <v>0</v>
      </c>
      <c r="W43" s="195"/>
    </row>
    <row r="44" spans="1:23" ht="18.75">
      <c r="A44" s="209"/>
      <c r="B44" s="210" t="s">
        <v>332</v>
      </c>
      <c r="C44" s="211">
        <v>0</v>
      </c>
      <c r="D44" s="211">
        <v>0</v>
      </c>
      <c r="E44" s="211"/>
      <c r="F44" s="211"/>
      <c r="G44" s="211"/>
      <c r="H44" s="211">
        <v>0</v>
      </c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>
        <f t="shared" si="7"/>
        <v>0</v>
      </c>
      <c r="W44" s="195"/>
    </row>
    <row r="45" spans="1:23" ht="18.75">
      <c r="A45" s="209"/>
      <c r="B45" s="210" t="s">
        <v>333</v>
      </c>
      <c r="C45" s="211">
        <v>0</v>
      </c>
      <c r="D45" s="211">
        <v>0</v>
      </c>
      <c r="E45" s="211"/>
      <c r="F45" s="211"/>
      <c r="G45" s="211"/>
      <c r="H45" s="211">
        <v>0</v>
      </c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>
        <f t="shared" si="7"/>
        <v>0</v>
      </c>
      <c r="W45" s="195"/>
    </row>
    <row r="46" spans="1:23" ht="18.75">
      <c r="A46" s="209"/>
      <c r="B46" s="210" t="s">
        <v>334</v>
      </c>
      <c r="C46" s="211">
        <v>0</v>
      </c>
      <c r="D46" s="211">
        <v>0</v>
      </c>
      <c r="E46" s="211"/>
      <c r="F46" s="211"/>
      <c r="G46" s="211"/>
      <c r="H46" s="211">
        <v>0</v>
      </c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>
        <f t="shared" si="7"/>
        <v>0</v>
      </c>
      <c r="W46" s="195"/>
    </row>
    <row r="47" spans="1:23" ht="18.75">
      <c r="A47" s="209"/>
      <c r="B47" s="210" t="s">
        <v>335</v>
      </c>
      <c r="C47" s="211">
        <v>0</v>
      </c>
      <c r="D47" s="211">
        <v>0</v>
      </c>
      <c r="E47" s="211"/>
      <c r="F47" s="211"/>
      <c r="G47" s="211"/>
      <c r="H47" s="211">
        <v>0</v>
      </c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>
        <f t="shared" si="7"/>
        <v>0</v>
      </c>
      <c r="W47" s="195"/>
    </row>
    <row r="48" spans="1:23" ht="18.75">
      <c r="A48" s="209"/>
      <c r="B48" s="210" t="s">
        <v>336</v>
      </c>
      <c r="C48" s="91">
        <v>0</v>
      </c>
      <c r="D48" s="91">
        <v>0</v>
      </c>
      <c r="E48" s="211"/>
      <c r="F48" s="211"/>
      <c r="G48" s="211"/>
      <c r="H48" s="211">
        <v>0</v>
      </c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91">
        <f t="shared" si="7"/>
        <v>0</v>
      </c>
      <c r="W48" s="195"/>
    </row>
    <row r="49" spans="1:26" s="215" customFormat="1" ht="18.75">
      <c r="A49" s="212" t="s">
        <v>318</v>
      </c>
      <c r="B49" s="213"/>
      <c r="C49" s="214">
        <f aca="true" t="shared" si="8" ref="C49:U49">SUM(C43:C48)</f>
        <v>0</v>
      </c>
      <c r="D49" s="214">
        <f t="shared" si="8"/>
        <v>0</v>
      </c>
      <c r="E49" s="214">
        <f t="shared" si="8"/>
        <v>0</v>
      </c>
      <c r="F49" s="214">
        <f t="shared" si="8"/>
        <v>0</v>
      </c>
      <c r="G49" s="214">
        <f t="shared" si="8"/>
        <v>0</v>
      </c>
      <c r="H49" s="214">
        <f t="shared" si="8"/>
        <v>0</v>
      </c>
      <c r="I49" s="214">
        <f t="shared" si="8"/>
        <v>0</v>
      </c>
      <c r="J49" s="214">
        <f t="shared" si="8"/>
        <v>0</v>
      </c>
      <c r="K49" s="214">
        <f t="shared" si="8"/>
        <v>0</v>
      </c>
      <c r="L49" s="214">
        <f t="shared" si="8"/>
        <v>0</v>
      </c>
      <c r="M49" s="214">
        <f t="shared" si="8"/>
        <v>0</v>
      </c>
      <c r="N49" s="214">
        <f t="shared" si="8"/>
        <v>0</v>
      </c>
      <c r="O49" s="214">
        <f t="shared" si="8"/>
        <v>0</v>
      </c>
      <c r="P49" s="214">
        <f t="shared" si="8"/>
        <v>0</v>
      </c>
      <c r="Q49" s="214">
        <f t="shared" si="8"/>
        <v>0</v>
      </c>
      <c r="R49" s="214">
        <f t="shared" si="8"/>
        <v>0</v>
      </c>
      <c r="S49" s="214">
        <f>SUM(S43:S48)</f>
        <v>0</v>
      </c>
      <c r="T49" s="214">
        <f t="shared" si="8"/>
        <v>0</v>
      </c>
      <c r="U49" s="214">
        <f t="shared" si="8"/>
        <v>0</v>
      </c>
      <c r="V49" s="214">
        <f t="shared" si="7"/>
        <v>0</v>
      </c>
      <c r="W49" s="160"/>
      <c r="X49" s="160"/>
      <c r="Y49" s="193"/>
      <c r="Z49" s="193"/>
    </row>
    <row r="50" spans="1:26" s="219" customFormat="1" ht="18.75">
      <c r="A50" s="224" t="s">
        <v>319</v>
      </c>
      <c r="B50" s="225"/>
      <c r="C50" s="226"/>
      <c r="D50" s="226"/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/>
      <c r="L50" s="226">
        <v>0</v>
      </c>
      <c r="M50" s="226">
        <v>0</v>
      </c>
      <c r="N50" s="226">
        <v>0</v>
      </c>
      <c r="O50" s="226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f t="shared" si="7"/>
        <v>0</v>
      </c>
      <c r="W50" s="193"/>
      <c r="X50" s="160"/>
      <c r="Y50" s="193"/>
      <c r="Z50" s="193"/>
    </row>
    <row r="51" spans="1:22" ht="18.75">
      <c r="A51" s="220" t="s">
        <v>14</v>
      </c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</row>
    <row r="52" spans="1:22" ht="18.75">
      <c r="A52" s="209"/>
      <c r="B52" s="210" t="s">
        <v>337</v>
      </c>
      <c r="C52" s="211">
        <v>0</v>
      </c>
      <c r="D52" s="211">
        <v>0</v>
      </c>
      <c r="E52" s="211"/>
      <c r="F52" s="211"/>
      <c r="G52" s="211"/>
      <c r="H52" s="211"/>
      <c r="I52" s="211"/>
      <c r="J52" s="211"/>
      <c r="K52" s="211"/>
      <c r="L52" s="211"/>
      <c r="M52" s="227"/>
      <c r="N52" s="211"/>
      <c r="O52" s="211"/>
      <c r="P52" s="211"/>
      <c r="Q52" s="211"/>
      <c r="R52" s="211"/>
      <c r="S52" s="211"/>
      <c r="T52" s="211"/>
      <c r="U52" s="211"/>
      <c r="V52" s="211">
        <f aca="true" t="shared" si="9" ref="V52:V58">SUM(C52:U52)</f>
        <v>0</v>
      </c>
    </row>
    <row r="53" spans="1:22" ht="18.75">
      <c r="A53" s="209"/>
      <c r="B53" s="210" t="s">
        <v>338</v>
      </c>
      <c r="C53" s="211">
        <v>0</v>
      </c>
      <c r="D53" s="211">
        <v>0</v>
      </c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>
        <f t="shared" si="9"/>
        <v>0</v>
      </c>
    </row>
    <row r="54" spans="1:22" ht="18.75">
      <c r="A54" s="209"/>
      <c r="B54" s="210" t="s">
        <v>339</v>
      </c>
      <c r="C54" s="211">
        <v>0</v>
      </c>
      <c r="D54" s="211">
        <v>0</v>
      </c>
      <c r="E54" s="211"/>
      <c r="F54" s="211"/>
      <c r="G54" s="211"/>
      <c r="H54" s="211"/>
      <c r="I54" s="211"/>
      <c r="J54" s="211"/>
      <c r="K54" s="211">
        <v>0</v>
      </c>
      <c r="L54" s="211"/>
      <c r="M54" s="211"/>
      <c r="N54" s="211"/>
      <c r="O54" s="211"/>
      <c r="P54" s="211"/>
      <c r="Q54" s="211"/>
      <c r="R54" s="211"/>
      <c r="S54" s="211">
        <v>0</v>
      </c>
      <c r="T54" s="211">
        <v>0</v>
      </c>
      <c r="U54" s="211"/>
      <c r="V54" s="211">
        <f t="shared" si="9"/>
        <v>0</v>
      </c>
    </row>
    <row r="55" spans="1:22" ht="18.75">
      <c r="A55" s="209"/>
      <c r="B55" s="210" t="s">
        <v>340</v>
      </c>
      <c r="C55" s="211">
        <v>0</v>
      </c>
      <c r="D55" s="211">
        <v>0</v>
      </c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>
        <f>1200+5000+5500</f>
        <v>11700</v>
      </c>
      <c r="R55" s="211"/>
      <c r="S55" s="211"/>
      <c r="T55" s="211"/>
      <c r="U55" s="211"/>
      <c r="V55" s="211">
        <f t="shared" si="9"/>
        <v>11700</v>
      </c>
    </row>
    <row r="56" spans="1:22" ht="18.75">
      <c r="A56" s="209"/>
      <c r="B56" s="210" t="s">
        <v>341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>
        <f t="shared" si="9"/>
        <v>0</v>
      </c>
    </row>
    <row r="57" spans="1:26" s="215" customFormat="1" ht="18.75">
      <c r="A57" s="212" t="s">
        <v>318</v>
      </c>
      <c r="B57" s="213"/>
      <c r="C57" s="214">
        <f>SUM(C52:C56)</f>
        <v>0</v>
      </c>
      <c r="D57" s="214">
        <f aca="true" t="shared" si="10" ref="D57:U57">SUM(D52:D56)</f>
        <v>0</v>
      </c>
      <c r="E57" s="214">
        <f t="shared" si="10"/>
        <v>0</v>
      </c>
      <c r="F57" s="214">
        <f t="shared" si="10"/>
        <v>0</v>
      </c>
      <c r="G57" s="214">
        <f t="shared" si="10"/>
        <v>0</v>
      </c>
      <c r="H57" s="214">
        <f t="shared" si="10"/>
        <v>0</v>
      </c>
      <c r="I57" s="214">
        <f t="shared" si="10"/>
        <v>0</v>
      </c>
      <c r="J57" s="214">
        <f t="shared" si="10"/>
        <v>0</v>
      </c>
      <c r="K57" s="214">
        <f t="shared" si="10"/>
        <v>0</v>
      </c>
      <c r="L57" s="214">
        <f t="shared" si="10"/>
        <v>0</v>
      </c>
      <c r="M57" s="214">
        <f t="shared" si="10"/>
        <v>0</v>
      </c>
      <c r="N57" s="214">
        <f t="shared" si="10"/>
        <v>0</v>
      </c>
      <c r="O57" s="214">
        <f t="shared" si="10"/>
        <v>0</v>
      </c>
      <c r="P57" s="214">
        <f t="shared" si="10"/>
        <v>0</v>
      </c>
      <c r="Q57" s="214">
        <f t="shared" si="10"/>
        <v>11700</v>
      </c>
      <c r="R57" s="214">
        <f t="shared" si="10"/>
        <v>0</v>
      </c>
      <c r="S57" s="214">
        <f>SUM(S52:S56)</f>
        <v>0</v>
      </c>
      <c r="T57" s="214">
        <f t="shared" si="10"/>
        <v>0</v>
      </c>
      <c r="U57" s="214">
        <f t="shared" si="10"/>
        <v>0</v>
      </c>
      <c r="V57" s="214">
        <f t="shared" si="9"/>
        <v>11700</v>
      </c>
      <c r="W57" s="160"/>
      <c r="X57" s="160"/>
      <c r="Y57" s="193"/>
      <c r="Z57" s="193"/>
    </row>
    <row r="58" spans="1:26" s="219" customFormat="1" ht="18.75">
      <c r="A58" s="216" t="s">
        <v>319</v>
      </c>
      <c r="B58" s="217"/>
      <c r="C58" s="218"/>
      <c r="D58" s="218"/>
      <c r="E58" s="218">
        <v>0</v>
      </c>
      <c r="F58" s="218"/>
      <c r="G58" s="218">
        <v>0</v>
      </c>
      <c r="H58" s="218"/>
      <c r="I58" s="218">
        <v>0</v>
      </c>
      <c r="J58" s="218">
        <v>0</v>
      </c>
      <c r="K58" s="218"/>
      <c r="L58" s="218">
        <v>0</v>
      </c>
      <c r="M58" s="218"/>
      <c r="N58" s="218"/>
      <c r="O58" s="218">
        <v>0</v>
      </c>
      <c r="P58" s="218"/>
      <c r="Q58" s="218">
        <v>11700</v>
      </c>
      <c r="R58" s="218">
        <v>0</v>
      </c>
      <c r="S58" s="218"/>
      <c r="T58" s="218"/>
      <c r="U58" s="218">
        <v>0</v>
      </c>
      <c r="V58" s="218">
        <f t="shared" si="9"/>
        <v>11700</v>
      </c>
      <c r="W58" s="195"/>
      <c r="X58" s="160"/>
      <c r="Y58" s="193"/>
      <c r="Z58" s="193"/>
    </row>
    <row r="59" spans="1:22" ht="18.75">
      <c r="A59" s="220" t="s">
        <v>15</v>
      </c>
      <c r="B59" s="210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2" ht="18.75">
      <c r="A60" s="209"/>
      <c r="B60" s="210" t="s">
        <v>342</v>
      </c>
      <c r="C60" s="211">
        <v>0</v>
      </c>
      <c r="D60" s="211">
        <v>0</v>
      </c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>
        <v>0</v>
      </c>
      <c r="T60" s="211">
        <v>0</v>
      </c>
      <c r="U60" s="211"/>
      <c r="V60" s="211">
        <f aca="true" t="shared" si="11" ref="V60:V74">SUM(C60:U60)</f>
        <v>0</v>
      </c>
    </row>
    <row r="61" spans="1:22" ht="18.75">
      <c r="A61" s="209"/>
      <c r="B61" s="210" t="s">
        <v>343</v>
      </c>
      <c r="C61" s="211">
        <v>0</v>
      </c>
      <c r="D61" s="211">
        <v>0</v>
      </c>
      <c r="E61" s="211"/>
      <c r="F61" s="211"/>
      <c r="G61" s="211"/>
      <c r="H61" s="211">
        <v>0</v>
      </c>
      <c r="I61" s="211"/>
      <c r="J61" s="211"/>
      <c r="K61" s="211">
        <v>0</v>
      </c>
      <c r="L61" s="211"/>
      <c r="M61" s="211"/>
      <c r="N61" s="211"/>
      <c r="O61" s="211"/>
      <c r="P61" s="211"/>
      <c r="Q61" s="211"/>
      <c r="R61" s="211"/>
      <c r="S61" s="211">
        <v>0</v>
      </c>
      <c r="T61" s="211">
        <v>0</v>
      </c>
      <c r="U61" s="211"/>
      <c r="V61" s="211">
        <f>SUM(C61:U61)</f>
        <v>0</v>
      </c>
    </row>
    <row r="62" spans="1:22" ht="18.75">
      <c r="A62" s="209"/>
      <c r="B62" s="210" t="s">
        <v>344</v>
      </c>
      <c r="C62" s="211">
        <v>0</v>
      </c>
      <c r="D62" s="211">
        <v>0</v>
      </c>
      <c r="E62" s="211"/>
      <c r="F62" s="211"/>
      <c r="G62" s="211"/>
      <c r="H62" s="211">
        <v>0</v>
      </c>
      <c r="I62" s="211"/>
      <c r="J62" s="211"/>
      <c r="K62" s="211">
        <v>0</v>
      </c>
      <c r="L62" s="211"/>
      <c r="M62" s="211"/>
      <c r="N62" s="211"/>
      <c r="O62" s="211"/>
      <c r="P62" s="211"/>
      <c r="Q62" s="211"/>
      <c r="R62" s="211"/>
      <c r="S62" s="211">
        <v>0</v>
      </c>
      <c r="T62" s="211">
        <v>0</v>
      </c>
      <c r="U62" s="211"/>
      <c r="V62" s="211">
        <f t="shared" si="11"/>
        <v>0</v>
      </c>
    </row>
    <row r="63" spans="1:22" ht="18.75">
      <c r="A63" s="209"/>
      <c r="B63" s="210" t="s">
        <v>345</v>
      </c>
      <c r="C63" s="211">
        <v>0</v>
      </c>
      <c r="D63" s="211">
        <v>0</v>
      </c>
      <c r="E63" s="211"/>
      <c r="F63" s="211"/>
      <c r="G63" s="211"/>
      <c r="H63" s="211">
        <v>0</v>
      </c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>
        <v>0</v>
      </c>
      <c r="T63" s="211"/>
      <c r="U63" s="211"/>
      <c r="V63" s="211">
        <f t="shared" si="11"/>
        <v>0</v>
      </c>
    </row>
    <row r="64" spans="1:22" ht="18.75">
      <c r="A64" s="209"/>
      <c r="B64" s="210" t="s">
        <v>346</v>
      </c>
      <c r="C64" s="211">
        <v>0</v>
      </c>
      <c r="D64" s="211">
        <v>0</v>
      </c>
      <c r="E64" s="211"/>
      <c r="F64" s="211"/>
      <c r="G64" s="211"/>
      <c r="H64" s="211"/>
      <c r="I64" s="211"/>
      <c r="J64" s="211"/>
      <c r="K64" s="211">
        <v>0</v>
      </c>
      <c r="L64" s="211"/>
      <c r="M64" s="211"/>
      <c r="N64" s="211"/>
      <c r="O64" s="211"/>
      <c r="P64" s="211"/>
      <c r="Q64" s="211"/>
      <c r="R64" s="211"/>
      <c r="S64" s="211">
        <v>0</v>
      </c>
      <c r="T64" s="211">
        <v>0</v>
      </c>
      <c r="U64" s="211"/>
      <c r="V64" s="211">
        <f t="shared" si="11"/>
        <v>0</v>
      </c>
    </row>
    <row r="65" spans="1:22" ht="18.75">
      <c r="A65" s="209"/>
      <c r="B65" s="210" t="s">
        <v>347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>
        <v>0</v>
      </c>
      <c r="T65" s="211">
        <v>0</v>
      </c>
      <c r="U65" s="211"/>
      <c r="V65" s="211">
        <f t="shared" si="11"/>
        <v>0</v>
      </c>
    </row>
    <row r="66" spans="1:22" ht="18.75">
      <c r="A66" s="209"/>
      <c r="B66" s="210" t="s">
        <v>348</v>
      </c>
      <c r="C66" s="211">
        <v>0</v>
      </c>
      <c r="D66" s="211">
        <v>0</v>
      </c>
      <c r="E66" s="211"/>
      <c r="F66" s="211"/>
      <c r="G66" s="211"/>
      <c r="H66" s="211">
        <v>0</v>
      </c>
      <c r="I66" s="211"/>
      <c r="J66" s="211"/>
      <c r="K66" s="211">
        <v>0</v>
      </c>
      <c r="L66" s="211"/>
      <c r="M66" s="211"/>
      <c r="N66" s="211"/>
      <c r="O66" s="211"/>
      <c r="P66" s="211"/>
      <c r="Q66" s="211"/>
      <c r="R66" s="211"/>
      <c r="S66" s="211">
        <v>0</v>
      </c>
      <c r="T66" s="211">
        <v>0</v>
      </c>
      <c r="U66" s="211"/>
      <c r="V66" s="211">
        <f t="shared" si="11"/>
        <v>0</v>
      </c>
    </row>
    <row r="67" spans="1:22" ht="18.75">
      <c r="A67" s="209"/>
      <c r="B67" s="210" t="s">
        <v>349</v>
      </c>
      <c r="C67" s="211">
        <v>0</v>
      </c>
      <c r="D67" s="211">
        <v>0</v>
      </c>
      <c r="E67" s="211"/>
      <c r="F67" s="211"/>
      <c r="G67" s="211"/>
      <c r="H67" s="211">
        <v>0</v>
      </c>
      <c r="I67" s="211"/>
      <c r="J67" s="211"/>
      <c r="K67" s="211">
        <v>0</v>
      </c>
      <c r="L67" s="211"/>
      <c r="M67" s="211"/>
      <c r="N67" s="211"/>
      <c r="O67" s="211"/>
      <c r="P67" s="211"/>
      <c r="Q67" s="211"/>
      <c r="R67" s="211"/>
      <c r="S67" s="211"/>
      <c r="T67" s="211">
        <v>0</v>
      </c>
      <c r="U67" s="211"/>
      <c r="V67" s="211">
        <f t="shared" si="11"/>
        <v>0</v>
      </c>
    </row>
    <row r="68" spans="1:22" ht="18.75">
      <c r="A68" s="209"/>
      <c r="B68" s="210" t="s">
        <v>350</v>
      </c>
      <c r="C68" s="211">
        <v>0</v>
      </c>
      <c r="D68" s="211">
        <v>0</v>
      </c>
      <c r="E68" s="211"/>
      <c r="F68" s="211"/>
      <c r="G68" s="211"/>
      <c r="H68" s="211">
        <v>0</v>
      </c>
      <c r="I68" s="211"/>
      <c r="J68" s="211"/>
      <c r="K68" s="211">
        <v>0</v>
      </c>
      <c r="L68" s="211"/>
      <c r="M68" s="211"/>
      <c r="N68" s="211"/>
      <c r="O68" s="211"/>
      <c r="P68" s="211"/>
      <c r="Q68" s="211"/>
      <c r="R68" s="211"/>
      <c r="S68" s="211">
        <v>0</v>
      </c>
      <c r="T68" s="211">
        <v>0</v>
      </c>
      <c r="U68" s="211"/>
      <c r="V68" s="211">
        <f t="shared" si="11"/>
        <v>0</v>
      </c>
    </row>
    <row r="69" spans="1:22" ht="18.75">
      <c r="A69" s="209"/>
      <c r="B69" s="210" t="s">
        <v>351</v>
      </c>
      <c r="C69" s="211">
        <v>0</v>
      </c>
      <c r="D69" s="211">
        <v>0</v>
      </c>
      <c r="E69" s="211"/>
      <c r="F69" s="211"/>
      <c r="G69" s="211"/>
      <c r="H69" s="211">
        <v>0</v>
      </c>
      <c r="I69" s="211"/>
      <c r="J69" s="211"/>
      <c r="K69" s="211">
        <v>0</v>
      </c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</row>
    <row r="70" spans="1:22" ht="18.75">
      <c r="A70" s="209"/>
      <c r="B70" s="210" t="s">
        <v>352</v>
      </c>
      <c r="C70" s="211">
        <v>0</v>
      </c>
      <c r="D70" s="211">
        <v>0</v>
      </c>
      <c r="E70" s="211"/>
      <c r="F70" s="211"/>
      <c r="G70" s="211"/>
      <c r="H70" s="211">
        <v>0</v>
      </c>
      <c r="I70" s="211"/>
      <c r="J70" s="211"/>
      <c r="K70" s="211">
        <v>0</v>
      </c>
      <c r="L70" s="211"/>
      <c r="M70" s="211"/>
      <c r="N70" s="211"/>
      <c r="O70" s="211"/>
      <c r="P70" s="211"/>
      <c r="Q70" s="211"/>
      <c r="R70" s="211"/>
      <c r="S70" s="211">
        <v>0</v>
      </c>
      <c r="T70" s="211">
        <v>0</v>
      </c>
      <c r="U70" s="211"/>
      <c r="V70" s="211">
        <f t="shared" si="11"/>
        <v>0</v>
      </c>
    </row>
    <row r="71" spans="1:22" ht="18.75">
      <c r="A71" s="209"/>
      <c r="B71" s="210" t="s">
        <v>353</v>
      </c>
      <c r="C71" s="211">
        <v>0</v>
      </c>
      <c r="D71" s="211">
        <v>0</v>
      </c>
      <c r="E71" s="211"/>
      <c r="F71" s="211"/>
      <c r="G71" s="211"/>
      <c r="H71" s="211">
        <v>0</v>
      </c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>
        <v>0</v>
      </c>
      <c r="T71" s="211">
        <v>0</v>
      </c>
      <c r="U71" s="211"/>
      <c r="V71" s="211">
        <f t="shared" si="11"/>
        <v>0</v>
      </c>
    </row>
    <row r="72" spans="1:22" ht="18.75">
      <c r="A72" s="209"/>
      <c r="B72" s="210" t="s">
        <v>354</v>
      </c>
      <c r="C72" s="211">
        <v>0</v>
      </c>
      <c r="D72" s="211">
        <v>0</v>
      </c>
      <c r="E72" s="211"/>
      <c r="F72" s="211"/>
      <c r="G72" s="211"/>
      <c r="H72" s="211"/>
      <c r="I72" s="211"/>
      <c r="J72" s="211"/>
      <c r="K72" s="211">
        <v>0</v>
      </c>
      <c r="L72" s="211"/>
      <c r="M72" s="211"/>
      <c r="N72" s="211"/>
      <c r="O72" s="211"/>
      <c r="P72" s="211"/>
      <c r="Q72" s="211"/>
      <c r="R72" s="211"/>
      <c r="S72" s="211">
        <v>0</v>
      </c>
      <c r="T72" s="211">
        <v>0</v>
      </c>
      <c r="U72" s="211"/>
      <c r="V72" s="211">
        <f t="shared" si="11"/>
        <v>0</v>
      </c>
    </row>
    <row r="73" spans="1:26" s="215" customFormat="1" ht="18.75">
      <c r="A73" s="212" t="s">
        <v>318</v>
      </c>
      <c r="B73" s="213"/>
      <c r="C73" s="214">
        <f aca="true" t="shared" si="12" ref="C73:U73">SUM(C60:C72)</f>
        <v>0</v>
      </c>
      <c r="D73" s="214">
        <f>SUM(D60:D72)</f>
        <v>0</v>
      </c>
      <c r="E73" s="214">
        <f t="shared" si="12"/>
        <v>0</v>
      </c>
      <c r="F73" s="214">
        <f t="shared" si="12"/>
        <v>0</v>
      </c>
      <c r="G73" s="214">
        <f t="shared" si="12"/>
        <v>0</v>
      </c>
      <c r="H73" s="214">
        <f t="shared" si="12"/>
        <v>0</v>
      </c>
      <c r="I73" s="214">
        <f t="shared" si="12"/>
        <v>0</v>
      </c>
      <c r="J73" s="214">
        <f t="shared" si="12"/>
        <v>0</v>
      </c>
      <c r="K73" s="214">
        <f>SUM(K60:K72)</f>
        <v>0</v>
      </c>
      <c r="L73" s="214">
        <f t="shared" si="12"/>
        <v>0</v>
      </c>
      <c r="M73" s="214">
        <f t="shared" si="12"/>
        <v>0</v>
      </c>
      <c r="N73" s="214">
        <f t="shared" si="12"/>
        <v>0</v>
      </c>
      <c r="O73" s="214">
        <f t="shared" si="12"/>
        <v>0</v>
      </c>
      <c r="P73" s="214">
        <f t="shared" si="12"/>
        <v>0</v>
      </c>
      <c r="Q73" s="214">
        <f t="shared" si="12"/>
        <v>0</v>
      </c>
      <c r="R73" s="214">
        <f t="shared" si="12"/>
        <v>0</v>
      </c>
      <c r="S73" s="214">
        <f>SUM(S60:S72)</f>
        <v>0</v>
      </c>
      <c r="T73" s="214">
        <f t="shared" si="12"/>
        <v>0</v>
      </c>
      <c r="U73" s="214">
        <f t="shared" si="12"/>
        <v>0</v>
      </c>
      <c r="V73" s="214">
        <f t="shared" si="11"/>
        <v>0</v>
      </c>
      <c r="W73" s="160"/>
      <c r="X73" s="160"/>
      <c r="Y73" s="193"/>
      <c r="Z73" s="193"/>
    </row>
    <row r="74" spans="1:26" s="219" customFormat="1" ht="18.75">
      <c r="A74" s="216" t="s">
        <v>319</v>
      </c>
      <c r="B74" s="217"/>
      <c r="C74" s="218"/>
      <c r="D74" s="218"/>
      <c r="E74" s="218">
        <v>0</v>
      </c>
      <c r="F74" s="218">
        <v>0</v>
      </c>
      <c r="G74" s="218">
        <v>0</v>
      </c>
      <c r="H74" s="218"/>
      <c r="I74" s="218">
        <v>0</v>
      </c>
      <c r="J74" s="218"/>
      <c r="K74" s="218"/>
      <c r="L74" s="218">
        <v>0</v>
      </c>
      <c r="M74" s="218"/>
      <c r="N74" s="218">
        <v>0</v>
      </c>
      <c r="O74" s="218">
        <v>0</v>
      </c>
      <c r="P74" s="218"/>
      <c r="Q74" s="218">
        <v>0</v>
      </c>
      <c r="R74" s="218">
        <v>0</v>
      </c>
      <c r="S74" s="218"/>
      <c r="T74" s="218"/>
      <c r="U74" s="218">
        <v>0</v>
      </c>
      <c r="V74" s="218">
        <f t="shared" si="11"/>
        <v>0</v>
      </c>
      <c r="W74" s="195"/>
      <c r="X74" s="160"/>
      <c r="Y74" s="193"/>
      <c r="Z74" s="193"/>
    </row>
    <row r="75" spans="1:22" ht="18.75">
      <c r="A75" s="222" t="s">
        <v>16</v>
      </c>
      <c r="B75" s="22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</row>
    <row r="76" spans="1:22" ht="18.75">
      <c r="A76" s="209"/>
      <c r="B76" s="210" t="s">
        <v>355</v>
      </c>
      <c r="C76" s="211"/>
      <c r="D76" s="211">
        <v>0</v>
      </c>
      <c r="E76" s="211"/>
      <c r="F76" s="211"/>
      <c r="G76" s="211"/>
      <c r="H76" s="211">
        <v>0</v>
      </c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>
        <f aca="true" t="shared" si="13" ref="V76:V81">SUM(C76:U76)</f>
        <v>0</v>
      </c>
    </row>
    <row r="77" spans="1:22" ht="18.75">
      <c r="A77" s="209"/>
      <c r="B77" s="210" t="s">
        <v>356</v>
      </c>
      <c r="C77" s="211">
        <v>0</v>
      </c>
      <c r="D77" s="211">
        <v>0</v>
      </c>
      <c r="E77" s="211"/>
      <c r="F77" s="211"/>
      <c r="G77" s="211"/>
      <c r="H77" s="211">
        <v>0</v>
      </c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>
        <v>0</v>
      </c>
      <c r="T77" s="211">
        <v>0</v>
      </c>
      <c r="U77" s="211"/>
      <c r="V77" s="211">
        <f t="shared" si="13"/>
        <v>0</v>
      </c>
    </row>
    <row r="78" spans="1:22" ht="18.75">
      <c r="A78" s="209"/>
      <c r="B78" s="210" t="s">
        <v>357</v>
      </c>
      <c r="C78" s="211"/>
      <c r="D78" s="211">
        <v>0</v>
      </c>
      <c r="E78" s="211"/>
      <c r="F78" s="211"/>
      <c r="G78" s="211"/>
      <c r="H78" s="211">
        <v>0</v>
      </c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>
        <v>0</v>
      </c>
      <c r="T78" s="211">
        <v>0</v>
      </c>
      <c r="U78" s="211"/>
      <c r="V78" s="211">
        <f t="shared" si="13"/>
        <v>0</v>
      </c>
    </row>
    <row r="79" spans="1:22" ht="18.75">
      <c r="A79" s="209"/>
      <c r="B79" s="210" t="s">
        <v>358</v>
      </c>
      <c r="C79" s="211">
        <v>0</v>
      </c>
      <c r="D79" s="211"/>
      <c r="E79" s="211"/>
      <c r="F79" s="211"/>
      <c r="G79" s="211"/>
      <c r="H79" s="211">
        <v>0</v>
      </c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>
        <v>0</v>
      </c>
      <c r="T79" s="211">
        <v>0</v>
      </c>
      <c r="U79" s="211"/>
      <c r="V79" s="211">
        <f t="shared" si="13"/>
        <v>0</v>
      </c>
    </row>
    <row r="80" spans="1:26" s="215" customFormat="1" ht="18.75">
      <c r="A80" s="212" t="s">
        <v>318</v>
      </c>
      <c r="B80" s="213"/>
      <c r="C80" s="214">
        <f aca="true" t="shared" si="14" ref="C80:U80">SUM(C76:C79)</f>
        <v>0</v>
      </c>
      <c r="D80" s="214">
        <f t="shared" si="14"/>
        <v>0</v>
      </c>
      <c r="E80" s="214">
        <f t="shared" si="14"/>
        <v>0</v>
      </c>
      <c r="F80" s="214">
        <f t="shared" si="14"/>
        <v>0</v>
      </c>
      <c r="G80" s="214">
        <f t="shared" si="14"/>
        <v>0</v>
      </c>
      <c r="H80" s="214">
        <f t="shared" si="14"/>
        <v>0</v>
      </c>
      <c r="I80" s="214">
        <f t="shared" si="14"/>
        <v>0</v>
      </c>
      <c r="J80" s="214">
        <f t="shared" si="14"/>
        <v>0</v>
      </c>
      <c r="K80" s="214">
        <f t="shared" si="14"/>
        <v>0</v>
      </c>
      <c r="L80" s="214">
        <f t="shared" si="14"/>
        <v>0</v>
      </c>
      <c r="M80" s="214">
        <f t="shared" si="14"/>
        <v>0</v>
      </c>
      <c r="N80" s="214">
        <f t="shared" si="14"/>
        <v>0</v>
      </c>
      <c r="O80" s="214">
        <f t="shared" si="14"/>
        <v>0</v>
      </c>
      <c r="P80" s="214">
        <f t="shared" si="14"/>
        <v>0</v>
      </c>
      <c r="Q80" s="214">
        <f t="shared" si="14"/>
        <v>0</v>
      </c>
      <c r="R80" s="214">
        <f t="shared" si="14"/>
        <v>0</v>
      </c>
      <c r="S80" s="214">
        <f>SUM(S76:S79)</f>
        <v>0</v>
      </c>
      <c r="T80" s="214">
        <f t="shared" si="14"/>
        <v>0</v>
      </c>
      <c r="U80" s="214">
        <f t="shared" si="14"/>
        <v>0</v>
      </c>
      <c r="V80" s="214">
        <f t="shared" si="13"/>
        <v>0</v>
      </c>
      <c r="W80" s="160"/>
      <c r="X80" s="160"/>
      <c r="Y80" s="193"/>
      <c r="Z80" s="193"/>
    </row>
    <row r="81" spans="1:26" s="219" customFormat="1" ht="18.75">
      <c r="A81" s="216" t="s">
        <v>319</v>
      </c>
      <c r="B81" s="217"/>
      <c r="C81" s="218"/>
      <c r="D81" s="218"/>
      <c r="E81" s="218">
        <v>0</v>
      </c>
      <c r="F81" s="218">
        <v>0</v>
      </c>
      <c r="G81" s="218">
        <v>0</v>
      </c>
      <c r="H81" s="218">
        <v>0</v>
      </c>
      <c r="I81" s="218">
        <v>0</v>
      </c>
      <c r="J81" s="218">
        <v>0</v>
      </c>
      <c r="K81" s="218">
        <v>0</v>
      </c>
      <c r="L81" s="218">
        <v>0</v>
      </c>
      <c r="M81" s="218">
        <v>0</v>
      </c>
      <c r="N81" s="218">
        <v>0</v>
      </c>
      <c r="O81" s="218">
        <v>0</v>
      </c>
      <c r="P81" s="218">
        <v>0</v>
      </c>
      <c r="Q81" s="218">
        <v>0</v>
      </c>
      <c r="R81" s="218">
        <v>0</v>
      </c>
      <c r="S81" s="218">
        <v>0</v>
      </c>
      <c r="T81" s="218"/>
      <c r="U81" s="218">
        <v>0</v>
      </c>
      <c r="V81" s="228">
        <f t="shared" si="13"/>
        <v>0</v>
      </c>
      <c r="W81" s="193"/>
      <c r="X81" s="160"/>
      <c r="Y81" s="193"/>
      <c r="Z81" s="193"/>
    </row>
    <row r="82" spans="1:23" ht="18.75">
      <c r="A82" s="220" t="s">
        <v>17</v>
      </c>
      <c r="B82" s="210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195"/>
    </row>
    <row r="83" spans="1:22" ht="18.75">
      <c r="A83" s="209"/>
      <c r="B83" s="210" t="s">
        <v>359</v>
      </c>
      <c r="C83" s="211">
        <v>0</v>
      </c>
      <c r="D83" s="211">
        <v>0</v>
      </c>
      <c r="E83" s="211"/>
      <c r="F83" s="211"/>
      <c r="G83" s="211"/>
      <c r="H83" s="211">
        <v>0</v>
      </c>
      <c r="I83" s="211"/>
      <c r="J83" s="211"/>
      <c r="K83" s="211">
        <v>0</v>
      </c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>
        <f>SUM(C83:U83)</f>
        <v>0</v>
      </c>
    </row>
    <row r="84" spans="1:22" ht="18.75">
      <c r="A84" s="209"/>
      <c r="B84" s="210" t="s">
        <v>360</v>
      </c>
      <c r="C84" s="211">
        <v>0</v>
      </c>
      <c r="D84" s="211">
        <v>0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29"/>
      <c r="O84" s="211"/>
      <c r="P84" s="211"/>
      <c r="Q84" s="211"/>
      <c r="R84" s="211"/>
      <c r="S84" s="211"/>
      <c r="T84" s="211"/>
      <c r="U84" s="211"/>
      <c r="V84" s="211">
        <f>SUM(C84:U84)</f>
        <v>0</v>
      </c>
    </row>
    <row r="85" spans="1:22" ht="18.75">
      <c r="A85" s="209"/>
      <c r="B85" s="210" t="s">
        <v>361</v>
      </c>
      <c r="C85" s="211">
        <v>0</v>
      </c>
      <c r="D85" s="211">
        <v>0</v>
      </c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>
        <f>SUM(C85:U85)</f>
        <v>0</v>
      </c>
    </row>
    <row r="86" spans="1:26" s="215" customFormat="1" ht="18.75">
      <c r="A86" s="212" t="s">
        <v>318</v>
      </c>
      <c r="B86" s="213"/>
      <c r="C86" s="214">
        <f aca="true" t="shared" si="15" ref="C86:U86">SUM(C83:C85)</f>
        <v>0</v>
      </c>
      <c r="D86" s="214">
        <f t="shared" si="15"/>
        <v>0</v>
      </c>
      <c r="E86" s="214">
        <f t="shared" si="15"/>
        <v>0</v>
      </c>
      <c r="F86" s="214">
        <f t="shared" si="15"/>
        <v>0</v>
      </c>
      <c r="G86" s="214">
        <f t="shared" si="15"/>
        <v>0</v>
      </c>
      <c r="H86" s="214">
        <f t="shared" si="15"/>
        <v>0</v>
      </c>
      <c r="I86" s="214">
        <f t="shared" si="15"/>
        <v>0</v>
      </c>
      <c r="J86" s="214">
        <f t="shared" si="15"/>
        <v>0</v>
      </c>
      <c r="K86" s="214">
        <f t="shared" si="15"/>
        <v>0</v>
      </c>
      <c r="L86" s="214">
        <f t="shared" si="15"/>
        <v>0</v>
      </c>
      <c r="M86" s="214">
        <f t="shared" si="15"/>
        <v>0</v>
      </c>
      <c r="N86" s="229"/>
      <c r="O86" s="214">
        <f t="shared" si="15"/>
        <v>0</v>
      </c>
      <c r="P86" s="214">
        <f t="shared" si="15"/>
        <v>0</v>
      </c>
      <c r="Q86" s="214">
        <f t="shared" si="15"/>
        <v>0</v>
      </c>
      <c r="R86" s="214">
        <f t="shared" si="15"/>
        <v>0</v>
      </c>
      <c r="S86" s="214">
        <f>SUM(S83:S85)</f>
        <v>0</v>
      </c>
      <c r="T86" s="214">
        <f t="shared" si="15"/>
        <v>0</v>
      </c>
      <c r="U86" s="214">
        <f t="shared" si="15"/>
        <v>0</v>
      </c>
      <c r="V86" s="214">
        <f>SUM(C86:U86)</f>
        <v>0</v>
      </c>
      <c r="W86" s="160"/>
      <c r="X86" s="160"/>
      <c r="Y86" s="193"/>
      <c r="Z86" s="193"/>
    </row>
    <row r="87" spans="1:26" s="219" customFormat="1" ht="18.75">
      <c r="A87" s="216" t="s">
        <v>319</v>
      </c>
      <c r="B87" s="217"/>
      <c r="C87" s="218">
        <v>0</v>
      </c>
      <c r="D87" s="218">
        <v>0</v>
      </c>
      <c r="E87" s="218">
        <v>0</v>
      </c>
      <c r="F87" s="218">
        <v>0</v>
      </c>
      <c r="G87" s="218">
        <v>0</v>
      </c>
      <c r="H87" s="218"/>
      <c r="I87" s="218">
        <v>0</v>
      </c>
      <c r="J87" s="218"/>
      <c r="K87" s="218"/>
      <c r="L87" s="218">
        <v>0</v>
      </c>
      <c r="M87" s="218">
        <v>0</v>
      </c>
      <c r="N87" s="218"/>
      <c r="O87" s="218">
        <v>0</v>
      </c>
      <c r="P87" s="218"/>
      <c r="Q87" s="218"/>
      <c r="R87" s="218">
        <v>0</v>
      </c>
      <c r="S87" s="218">
        <v>0</v>
      </c>
      <c r="T87" s="218">
        <v>0</v>
      </c>
      <c r="U87" s="218">
        <v>0</v>
      </c>
      <c r="V87" s="218">
        <f>SUM(C87:U87)</f>
        <v>0</v>
      </c>
      <c r="W87" s="193"/>
      <c r="X87" s="160"/>
      <c r="Y87" s="193"/>
      <c r="Z87" s="193"/>
    </row>
    <row r="88" spans="1:22" ht="18.75">
      <c r="A88" s="220" t="s">
        <v>18</v>
      </c>
      <c r="B88" s="210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</row>
    <row r="89" spans="1:22" ht="18.75">
      <c r="A89" s="209"/>
      <c r="B89" s="210" t="s">
        <v>362</v>
      </c>
      <c r="C89" s="211">
        <v>0</v>
      </c>
      <c r="D89" s="211">
        <v>0</v>
      </c>
      <c r="E89" s="211"/>
      <c r="F89" s="211"/>
      <c r="G89" s="211"/>
      <c r="H89" s="211"/>
      <c r="I89" s="211"/>
      <c r="J89" s="211"/>
      <c r="K89" s="211">
        <v>0</v>
      </c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>
        <f aca="true" t="shared" si="16" ref="V89:V101">SUM(C89:U89)</f>
        <v>0</v>
      </c>
    </row>
    <row r="90" spans="1:22" ht="18.75">
      <c r="A90" s="209"/>
      <c r="B90" s="210" t="s">
        <v>363</v>
      </c>
      <c r="C90" s="211">
        <v>0</v>
      </c>
      <c r="D90" s="211">
        <v>0</v>
      </c>
      <c r="E90" s="211"/>
      <c r="F90" s="211"/>
      <c r="G90" s="211"/>
      <c r="H90" s="211"/>
      <c r="I90" s="211"/>
      <c r="J90" s="211"/>
      <c r="K90" s="211">
        <v>0</v>
      </c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>
        <f t="shared" si="16"/>
        <v>0</v>
      </c>
    </row>
    <row r="91" spans="1:22" ht="18.75">
      <c r="A91" s="209"/>
      <c r="B91" s="210" t="s">
        <v>364</v>
      </c>
      <c r="C91" s="211">
        <v>0</v>
      </c>
      <c r="D91" s="211">
        <v>0</v>
      </c>
      <c r="E91" s="211"/>
      <c r="F91" s="211"/>
      <c r="G91" s="211"/>
      <c r="H91" s="211"/>
      <c r="I91" s="211"/>
      <c r="J91" s="211"/>
      <c r="K91" s="211">
        <v>0</v>
      </c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>
        <f t="shared" si="16"/>
        <v>0</v>
      </c>
    </row>
    <row r="92" spans="1:22" ht="18.75">
      <c r="A92" s="209"/>
      <c r="B92" s="210" t="s">
        <v>365</v>
      </c>
      <c r="C92" s="211">
        <v>0</v>
      </c>
      <c r="D92" s="211">
        <v>0</v>
      </c>
      <c r="E92" s="211"/>
      <c r="F92" s="211"/>
      <c r="G92" s="211"/>
      <c r="H92" s="211"/>
      <c r="I92" s="211"/>
      <c r="J92" s="211"/>
      <c r="K92" s="211">
        <v>0</v>
      </c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>
        <f t="shared" si="16"/>
        <v>0</v>
      </c>
    </row>
    <row r="93" spans="1:22" ht="18.75">
      <c r="A93" s="209"/>
      <c r="B93" s="210" t="s">
        <v>366</v>
      </c>
      <c r="C93" s="211">
        <v>0</v>
      </c>
      <c r="D93" s="211">
        <v>0</v>
      </c>
      <c r="E93" s="211"/>
      <c r="F93" s="211"/>
      <c r="G93" s="211"/>
      <c r="H93" s="211"/>
      <c r="I93" s="211"/>
      <c r="J93" s="211"/>
      <c r="K93" s="211">
        <v>0</v>
      </c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>
        <f t="shared" si="16"/>
        <v>0</v>
      </c>
    </row>
    <row r="94" spans="1:22" ht="18.75">
      <c r="A94" s="209"/>
      <c r="B94" s="210" t="s">
        <v>367</v>
      </c>
      <c r="C94" s="211">
        <v>0</v>
      </c>
      <c r="D94" s="211">
        <v>0</v>
      </c>
      <c r="E94" s="211"/>
      <c r="F94" s="211"/>
      <c r="G94" s="211"/>
      <c r="H94" s="211"/>
      <c r="I94" s="211"/>
      <c r="J94" s="211"/>
      <c r="K94" s="211">
        <v>0</v>
      </c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>
        <f>SUM(C94:U94)</f>
        <v>0</v>
      </c>
    </row>
    <row r="95" spans="1:22" ht="18.75">
      <c r="A95" s="209"/>
      <c r="B95" s="210" t="s">
        <v>368</v>
      </c>
      <c r="C95" s="211">
        <v>0</v>
      </c>
      <c r="D95" s="211">
        <v>0</v>
      </c>
      <c r="E95" s="211"/>
      <c r="F95" s="211"/>
      <c r="G95" s="211"/>
      <c r="H95" s="211"/>
      <c r="I95" s="211"/>
      <c r="J95" s="211"/>
      <c r="K95" s="211">
        <v>0</v>
      </c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>
        <f t="shared" si="16"/>
        <v>0</v>
      </c>
    </row>
    <row r="96" spans="1:22" ht="18.75">
      <c r="A96" s="209"/>
      <c r="B96" s="210" t="s">
        <v>369</v>
      </c>
      <c r="C96" s="211">
        <v>0</v>
      </c>
      <c r="D96" s="211">
        <v>0</v>
      </c>
      <c r="E96" s="211"/>
      <c r="F96" s="211"/>
      <c r="G96" s="211"/>
      <c r="H96" s="211"/>
      <c r="I96" s="211"/>
      <c r="J96" s="211"/>
      <c r="K96" s="211">
        <v>0</v>
      </c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>
        <f t="shared" si="16"/>
        <v>0</v>
      </c>
    </row>
    <row r="97" spans="1:22" ht="18.75">
      <c r="A97" s="209"/>
      <c r="B97" s="210" t="s">
        <v>370</v>
      </c>
      <c r="C97" s="211">
        <v>0</v>
      </c>
      <c r="D97" s="211">
        <v>0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>
        <f>SUM(C97:U97)</f>
        <v>0</v>
      </c>
    </row>
    <row r="98" spans="1:22" ht="18.75">
      <c r="A98" s="209"/>
      <c r="B98" s="210" t="s">
        <v>371</v>
      </c>
      <c r="C98" s="211">
        <v>0</v>
      </c>
      <c r="D98" s="211">
        <v>0</v>
      </c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>
        <f t="shared" si="16"/>
        <v>0</v>
      </c>
    </row>
    <row r="99" spans="1:22" ht="18.75">
      <c r="A99" s="209"/>
      <c r="B99" s="210" t="s">
        <v>372</v>
      </c>
      <c r="C99" s="211"/>
      <c r="D99" s="211">
        <v>0</v>
      </c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>
        <f t="shared" si="16"/>
        <v>0</v>
      </c>
    </row>
    <row r="100" spans="1:26" s="233" customFormat="1" ht="18.75">
      <c r="A100" s="230" t="s">
        <v>318</v>
      </c>
      <c r="B100" s="231"/>
      <c r="C100" s="232">
        <f>SUM(C89:C99)</f>
        <v>0</v>
      </c>
      <c r="D100" s="232">
        <f aca="true" t="shared" si="17" ref="D100:U100">SUM(D89:D99)</f>
        <v>0</v>
      </c>
      <c r="E100" s="232">
        <f t="shared" si="17"/>
        <v>0</v>
      </c>
      <c r="F100" s="232">
        <f t="shared" si="17"/>
        <v>0</v>
      </c>
      <c r="G100" s="232">
        <f t="shared" si="17"/>
        <v>0</v>
      </c>
      <c r="H100" s="232">
        <f t="shared" si="17"/>
        <v>0</v>
      </c>
      <c r="I100" s="232">
        <f t="shared" si="17"/>
        <v>0</v>
      </c>
      <c r="J100" s="232">
        <f t="shared" si="17"/>
        <v>0</v>
      </c>
      <c r="K100" s="232">
        <f t="shared" si="17"/>
        <v>0</v>
      </c>
      <c r="L100" s="232">
        <f t="shared" si="17"/>
        <v>0</v>
      </c>
      <c r="M100" s="232">
        <f t="shared" si="17"/>
        <v>0</v>
      </c>
      <c r="N100" s="232">
        <f t="shared" si="17"/>
        <v>0</v>
      </c>
      <c r="O100" s="232">
        <f t="shared" si="17"/>
        <v>0</v>
      </c>
      <c r="P100" s="232">
        <f t="shared" si="17"/>
        <v>0</v>
      </c>
      <c r="Q100" s="232">
        <f t="shared" si="17"/>
        <v>0</v>
      </c>
      <c r="R100" s="232">
        <f t="shared" si="17"/>
        <v>0</v>
      </c>
      <c r="S100" s="232">
        <f>SUM(S89:S99)</f>
        <v>0</v>
      </c>
      <c r="T100" s="232">
        <f t="shared" si="17"/>
        <v>0</v>
      </c>
      <c r="U100" s="232">
        <f t="shared" si="17"/>
        <v>0</v>
      </c>
      <c r="V100" s="232">
        <f t="shared" si="16"/>
        <v>0</v>
      </c>
      <c r="W100" s="160"/>
      <c r="X100" s="160"/>
      <c r="Y100" s="193"/>
      <c r="Z100" s="193"/>
    </row>
    <row r="101" spans="1:26" s="219" customFormat="1" ht="18.75">
      <c r="A101" s="216" t="s">
        <v>319</v>
      </c>
      <c r="B101" s="217"/>
      <c r="C101" s="218"/>
      <c r="D101" s="218"/>
      <c r="E101" s="218">
        <v>0</v>
      </c>
      <c r="F101" s="218"/>
      <c r="G101" s="218">
        <v>0</v>
      </c>
      <c r="H101" s="218"/>
      <c r="I101" s="218">
        <v>0</v>
      </c>
      <c r="J101" s="218"/>
      <c r="K101" s="218"/>
      <c r="L101" s="218">
        <v>0</v>
      </c>
      <c r="M101" s="218">
        <v>0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  <c r="S101" s="218"/>
      <c r="T101" s="218"/>
      <c r="U101" s="218">
        <v>0</v>
      </c>
      <c r="V101" s="234">
        <f t="shared" si="16"/>
        <v>0</v>
      </c>
      <c r="W101" s="193"/>
      <c r="X101" s="160"/>
      <c r="Y101" s="193"/>
      <c r="Z101" s="193"/>
    </row>
    <row r="102" spans="1:22" ht="18.75">
      <c r="A102" s="220" t="s">
        <v>19</v>
      </c>
      <c r="B102" s="210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</row>
    <row r="103" spans="1:22" ht="18.75">
      <c r="A103" s="209"/>
      <c r="B103" s="210" t="s">
        <v>373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>
        <f>SUM(C103:U103)</f>
        <v>0</v>
      </c>
    </row>
    <row r="104" spans="1:22" ht="18.75">
      <c r="A104" s="209"/>
      <c r="B104" s="210" t="s">
        <v>374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>
        <f>SUM(C104:U104)</f>
        <v>0</v>
      </c>
    </row>
    <row r="105" spans="1:26" s="215" customFormat="1" ht="18.75">
      <c r="A105" s="212" t="s">
        <v>318</v>
      </c>
      <c r="B105" s="213"/>
      <c r="C105" s="214">
        <f>SUM(C103:C104)</f>
        <v>0</v>
      </c>
      <c r="D105" s="214">
        <f aca="true" t="shared" si="18" ref="D105:V105">SUM(D103:D104)</f>
        <v>0</v>
      </c>
      <c r="E105" s="214">
        <f t="shared" si="18"/>
        <v>0</v>
      </c>
      <c r="F105" s="214">
        <f t="shared" si="18"/>
        <v>0</v>
      </c>
      <c r="G105" s="214">
        <f t="shared" si="18"/>
        <v>0</v>
      </c>
      <c r="H105" s="214">
        <f t="shared" si="18"/>
        <v>0</v>
      </c>
      <c r="I105" s="214">
        <f t="shared" si="18"/>
        <v>0</v>
      </c>
      <c r="J105" s="214">
        <f t="shared" si="18"/>
        <v>0</v>
      </c>
      <c r="K105" s="214">
        <f t="shared" si="18"/>
        <v>0</v>
      </c>
      <c r="L105" s="214">
        <f t="shared" si="18"/>
        <v>0</v>
      </c>
      <c r="M105" s="214">
        <f t="shared" si="18"/>
        <v>0</v>
      </c>
      <c r="N105" s="214">
        <f t="shared" si="18"/>
        <v>0</v>
      </c>
      <c r="O105" s="214">
        <f t="shared" si="18"/>
        <v>0</v>
      </c>
      <c r="P105" s="214">
        <f t="shared" si="18"/>
        <v>0</v>
      </c>
      <c r="Q105" s="214">
        <f t="shared" si="18"/>
        <v>0</v>
      </c>
      <c r="R105" s="214">
        <f t="shared" si="18"/>
        <v>0</v>
      </c>
      <c r="S105" s="214">
        <f t="shared" si="18"/>
        <v>0</v>
      </c>
      <c r="T105" s="214">
        <f t="shared" si="18"/>
        <v>0</v>
      </c>
      <c r="U105" s="214">
        <f t="shared" si="18"/>
        <v>0</v>
      </c>
      <c r="V105" s="214">
        <f t="shared" si="18"/>
        <v>0</v>
      </c>
      <c r="W105" s="160"/>
      <c r="X105" s="160"/>
      <c r="Y105" s="193"/>
      <c r="Z105" s="193"/>
    </row>
    <row r="106" spans="1:26" s="219" customFormat="1" ht="18.75">
      <c r="A106" s="216" t="s">
        <v>319</v>
      </c>
      <c r="B106" s="217"/>
      <c r="C106" s="218">
        <v>0</v>
      </c>
      <c r="D106" s="218">
        <v>0</v>
      </c>
      <c r="E106" s="218">
        <v>0</v>
      </c>
      <c r="F106" s="218">
        <v>0</v>
      </c>
      <c r="G106" s="218">
        <v>0</v>
      </c>
      <c r="H106" s="218">
        <v>0</v>
      </c>
      <c r="I106" s="218">
        <v>0</v>
      </c>
      <c r="J106" s="218">
        <v>0</v>
      </c>
      <c r="K106" s="218">
        <v>0</v>
      </c>
      <c r="L106" s="218">
        <v>0</v>
      </c>
      <c r="M106" s="218">
        <v>0</v>
      </c>
      <c r="N106" s="218">
        <v>0</v>
      </c>
      <c r="O106" s="218">
        <v>0</v>
      </c>
      <c r="P106" s="218">
        <v>0</v>
      </c>
      <c r="Q106" s="218">
        <v>0</v>
      </c>
      <c r="R106" s="218"/>
      <c r="S106" s="218">
        <v>0</v>
      </c>
      <c r="T106" s="218">
        <v>0</v>
      </c>
      <c r="U106" s="218">
        <v>0</v>
      </c>
      <c r="V106" s="218">
        <f>SUM(C106:U106)</f>
        <v>0</v>
      </c>
      <c r="W106" s="193"/>
      <c r="X106" s="160"/>
      <c r="Y106" s="193"/>
      <c r="Z106" s="193"/>
    </row>
    <row r="107" spans="1:23" ht="18.75">
      <c r="A107" s="209"/>
      <c r="B107" s="235" t="s">
        <v>375</v>
      </c>
      <c r="C107" s="236">
        <f>+C23+C29+C40+C49+C57+C73+C80+C86+C100+C105</f>
        <v>0</v>
      </c>
      <c r="D107" s="236">
        <f>+D23+D29+D40+D49+D57+D73+D80+D86+D100+D105</f>
        <v>0</v>
      </c>
      <c r="E107" s="236">
        <f>+E23+E29+E40+E49+E57+E73+E80+E86+E100+E105</f>
        <v>0</v>
      </c>
      <c r="F107" s="236">
        <f aca="true" t="shared" si="19" ref="F107:V107">+F23+F29+F40+F49+F57+F73+F80+F86+F100+F105</f>
        <v>0</v>
      </c>
      <c r="G107" s="236">
        <f t="shared" si="19"/>
        <v>0</v>
      </c>
      <c r="H107" s="236">
        <f t="shared" si="19"/>
        <v>0</v>
      </c>
      <c r="I107" s="236">
        <f t="shared" si="19"/>
        <v>0</v>
      </c>
      <c r="J107" s="236">
        <f t="shared" si="19"/>
        <v>0</v>
      </c>
      <c r="K107" s="236">
        <f t="shared" si="19"/>
        <v>0</v>
      </c>
      <c r="L107" s="236">
        <f t="shared" si="19"/>
        <v>0</v>
      </c>
      <c r="M107" s="236">
        <f t="shared" si="19"/>
        <v>0</v>
      </c>
      <c r="N107" s="236">
        <f t="shared" si="19"/>
        <v>0</v>
      </c>
      <c r="O107" s="236">
        <f t="shared" si="19"/>
        <v>0</v>
      </c>
      <c r="P107" s="236">
        <f t="shared" si="19"/>
        <v>0</v>
      </c>
      <c r="Q107" s="236">
        <f t="shared" si="19"/>
        <v>11700</v>
      </c>
      <c r="R107" s="236">
        <f t="shared" si="19"/>
        <v>0</v>
      </c>
      <c r="S107" s="236">
        <f>+S23+S29+S40+S49+S57+S73+S80+S86+S100+S105</f>
        <v>0</v>
      </c>
      <c r="T107" s="236">
        <f t="shared" si="19"/>
        <v>0</v>
      </c>
      <c r="U107" s="236">
        <f t="shared" si="19"/>
        <v>0</v>
      </c>
      <c r="V107" s="236">
        <f t="shared" si="19"/>
        <v>11700</v>
      </c>
      <c r="W107" s="195"/>
    </row>
    <row r="108" spans="1:23" ht="18.75">
      <c r="A108" s="237"/>
      <c r="B108" s="238" t="s">
        <v>376</v>
      </c>
      <c r="C108" s="239">
        <f aca="true" t="shared" si="20" ref="C108:V108">C24+C30+C41+C50+C58+C74+C81+C87+C101+C106</f>
        <v>0</v>
      </c>
      <c r="D108" s="239">
        <f t="shared" si="20"/>
        <v>0</v>
      </c>
      <c r="E108" s="239">
        <f t="shared" si="20"/>
        <v>0</v>
      </c>
      <c r="F108" s="239">
        <f t="shared" si="20"/>
        <v>0</v>
      </c>
      <c r="G108" s="239">
        <f t="shared" si="20"/>
        <v>0</v>
      </c>
      <c r="H108" s="239">
        <f t="shared" si="20"/>
        <v>0</v>
      </c>
      <c r="I108" s="239">
        <f t="shared" si="20"/>
        <v>0</v>
      </c>
      <c r="J108" s="239">
        <f t="shared" si="20"/>
        <v>0</v>
      </c>
      <c r="K108" s="239">
        <f t="shared" si="20"/>
        <v>0</v>
      </c>
      <c r="L108" s="239">
        <f t="shared" si="20"/>
        <v>0</v>
      </c>
      <c r="M108" s="239">
        <f t="shared" si="20"/>
        <v>0</v>
      </c>
      <c r="N108" s="239">
        <f t="shared" si="20"/>
        <v>0</v>
      </c>
      <c r="O108" s="239">
        <f t="shared" si="20"/>
        <v>0</v>
      </c>
      <c r="P108" s="239">
        <f t="shared" si="20"/>
        <v>0</v>
      </c>
      <c r="Q108" s="239">
        <f t="shared" si="20"/>
        <v>11700</v>
      </c>
      <c r="R108" s="239">
        <f t="shared" si="20"/>
        <v>0</v>
      </c>
      <c r="S108" s="239">
        <f>S24+S30+S41+S50+S58+S74+S81+S87+S101+S106</f>
        <v>0</v>
      </c>
      <c r="T108" s="239">
        <f t="shared" si="20"/>
        <v>0</v>
      </c>
      <c r="U108" s="239">
        <f t="shared" si="20"/>
        <v>0</v>
      </c>
      <c r="V108" s="239">
        <f t="shared" si="20"/>
        <v>11700</v>
      </c>
      <c r="W108" s="195"/>
    </row>
    <row r="109" spans="1:23" ht="18.75">
      <c r="A109" s="194"/>
      <c r="B109" s="240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2"/>
      <c r="V109" s="330"/>
      <c r="W109" s="195"/>
    </row>
    <row r="110" spans="1:23" ht="18.75">
      <c r="A110" s="194"/>
      <c r="B110" s="240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2"/>
      <c r="V110" s="330"/>
      <c r="W110" s="195"/>
    </row>
    <row r="111" spans="1:23" ht="18.75">
      <c r="A111" s="194"/>
      <c r="B111" s="240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2"/>
      <c r="V111" s="330"/>
      <c r="W111" s="195"/>
    </row>
    <row r="112" spans="2:24" s="197" customFormat="1" ht="19.5">
      <c r="B112" s="243"/>
      <c r="C112" s="243" t="s">
        <v>377</v>
      </c>
      <c r="D112" s="243"/>
      <c r="E112" s="244"/>
      <c r="F112" s="244"/>
      <c r="U112" s="245"/>
      <c r="V112" s="331"/>
      <c r="W112" s="246"/>
      <c r="X112" s="42"/>
    </row>
    <row r="113" spans="2:24" s="197" customFormat="1" ht="19.5">
      <c r="B113" s="243"/>
      <c r="C113" s="243" t="s">
        <v>378</v>
      </c>
      <c r="D113" s="243"/>
      <c r="E113" s="244"/>
      <c r="F113" s="244"/>
      <c r="V113" s="332"/>
      <c r="W113" s="246"/>
      <c r="X113" s="42"/>
    </row>
    <row r="114" spans="2:24" s="197" customFormat="1" ht="19.5">
      <c r="B114" s="243"/>
      <c r="C114" s="243" t="s">
        <v>379</v>
      </c>
      <c r="D114" s="243"/>
      <c r="E114" s="244"/>
      <c r="F114" s="244"/>
      <c r="V114" s="332"/>
      <c r="X114" s="42"/>
    </row>
    <row r="115" ht="18.75">
      <c r="V115" s="247"/>
    </row>
    <row r="116" ht="18.75">
      <c r="V116" s="195"/>
    </row>
    <row r="117" ht="18.75">
      <c r="V117" s="196"/>
    </row>
    <row r="118" ht="18.75">
      <c r="V118" s="196"/>
    </row>
    <row r="119" ht="18.75">
      <c r="V119" s="195"/>
    </row>
  </sheetData>
  <sheetProtection/>
  <mergeCells count="40">
    <mergeCell ref="T10:T13"/>
    <mergeCell ref="U10:U13"/>
    <mergeCell ref="N10:N13"/>
    <mergeCell ref="O10:O13"/>
    <mergeCell ref="P10:P13"/>
    <mergeCell ref="Q10:Q13"/>
    <mergeCell ref="R10:R13"/>
    <mergeCell ref="S10:S13"/>
    <mergeCell ref="H10:H13"/>
    <mergeCell ref="I10:I13"/>
    <mergeCell ref="J10:J13"/>
    <mergeCell ref="K10:K13"/>
    <mergeCell ref="L10:L13"/>
    <mergeCell ref="M10:M13"/>
    <mergeCell ref="O6:Q8"/>
    <mergeCell ref="R6:R8"/>
    <mergeCell ref="S6:S8"/>
    <mergeCell ref="T6:T8"/>
    <mergeCell ref="U6:U8"/>
    <mergeCell ref="C10:C13"/>
    <mergeCell ref="D10:D13"/>
    <mergeCell ref="E10:E13"/>
    <mergeCell ref="F10:F13"/>
    <mergeCell ref="G10:G13"/>
    <mergeCell ref="C6:D8"/>
    <mergeCell ref="E6:F8"/>
    <mergeCell ref="G6:H8"/>
    <mergeCell ref="I6:J8"/>
    <mergeCell ref="K6:M8"/>
    <mergeCell ref="N6:N8"/>
    <mergeCell ref="A2:V2"/>
    <mergeCell ref="A3:V3"/>
    <mergeCell ref="A5:B13"/>
    <mergeCell ref="C5:D5"/>
    <mergeCell ref="E5:F5"/>
    <mergeCell ref="G5:H5"/>
    <mergeCell ref="I5:J5"/>
    <mergeCell ref="K5:M5"/>
    <mergeCell ref="O5:Q5"/>
    <mergeCell ref="V5:V13"/>
  </mergeCells>
  <printOptions/>
  <pageMargins left="0.55" right="0.15748031496062992" top="0.1968503937007874" bottom="0.15748031496062992" header="0.11811023622047245" footer="0.15748031496062992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1.57421875" style="370" customWidth="1"/>
    <col min="2" max="2" width="25.28125" style="370" customWidth="1"/>
    <col min="3" max="3" width="21.00390625" style="370" customWidth="1"/>
    <col min="4" max="4" width="25.28125" style="370" customWidth="1"/>
    <col min="5" max="5" width="13.57421875" style="200" bestFit="1" customWidth="1"/>
    <col min="6" max="6" width="13.8515625" style="199" bestFit="1" customWidth="1"/>
    <col min="7" max="16384" width="9.140625" style="370" customWidth="1"/>
  </cols>
  <sheetData>
    <row r="1" spans="1:6" s="366" customFormat="1" ht="23.25">
      <c r="A1" s="362" t="s">
        <v>62</v>
      </c>
      <c r="B1" s="363"/>
      <c r="C1" s="450" t="s">
        <v>231</v>
      </c>
      <c r="D1" s="451"/>
      <c r="E1" s="364"/>
      <c r="F1" s="365"/>
    </row>
    <row r="2" spans="1:6" s="366" customFormat="1" ht="23.25">
      <c r="A2" s="452" t="s">
        <v>232</v>
      </c>
      <c r="B2" s="453"/>
      <c r="C2" s="456" t="s">
        <v>233</v>
      </c>
      <c r="D2" s="452"/>
      <c r="E2" s="364"/>
      <c r="F2" s="365"/>
    </row>
    <row r="3" spans="1:6" s="366" customFormat="1" ht="23.25">
      <c r="A3" s="454"/>
      <c r="B3" s="455"/>
      <c r="C3" s="457"/>
      <c r="D3" s="454"/>
      <c r="E3" s="364"/>
      <c r="F3" s="365"/>
    </row>
    <row r="4" spans="1:5" ht="21">
      <c r="A4" s="367"/>
      <c r="B4" s="367"/>
      <c r="C4" s="368"/>
      <c r="D4" s="369" t="s">
        <v>400</v>
      </c>
      <c r="E4" s="364"/>
    </row>
    <row r="5" spans="1:5" ht="21">
      <c r="A5" s="371" t="s">
        <v>416</v>
      </c>
      <c r="B5" s="372"/>
      <c r="C5" s="372"/>
      <c r="D5" s="373">
        <v>31868091.72</v>
      </c>
      <c r="E5" s="364"/>
    </row>
    <row r="6" spans="1:5" ht="21">
      <c r="A6" s="371" t="s">
        <v>234</v>
      </c>
      <c r="B6" s="372"/>
      <c r="C6" s="372"/>
      <c r="D6" s="372"/>
      <c r="E6" s="364"/>
    </row>
    <row r="7" spans="1:5" ht="21">
      <c r="A7" s="374" t="s">
        <v>235</v>
      </c>
      <c r="B7" s="374" t="s">
        <v>236</v>
      </c>
      <c r="C7" s="374" t="s">
        <v>157</v>
      </c>
      <c r="D7" s="375"/>
      <c r="E7" s="364"/>
    </row>
    <row r="8" spans="1:5" ht="21">
      <c r="A8" s="376" t="s">
        <v>237</v>
      </c>
      <c r="B8" s="376" t="s">
        <v>238</v>
      </c>
      <c r="C8" s="376" t="s">
        <v>239</v>
      </c>
      <c r="D8" s="377" t="s">
        <v>240</v>
      </c>
      <c r="E8" s="364"/>
    </row>
    <row r="9" spans="1:5" ht="21">
      <c r="A9" s="376"/>
      <c r="B9" s="376"/>
      <c r="C9" s="376"/>
      <c r="D9" s="377"/>
      <c r="E9" s="364"/>
    </row>
    <row r="10" spans="1:5" ht="21">
      <c r="A10" s="371" t="s">
        <v>241</v>
      </c>
      <c r="B10" s="372"/>
      <c r="C10" s="372"/>
      <c r="D10" s="372"/>
      <c r="E10" s="364"/>
    </row>
    <row r="11" spans="1:5" ht="21">
      <c r="A11" s="374" t="s">
        <v>242</v>
      </c>
      <c r="B11" s="374" t="s">
        <v>243</v>
      </c>
      <c r="C11" s="374" t="s">
        <v>157</v>
      </c>
      <c r="D11" s="372"/>
      <c r="E11" s="364"/>
    </row>
    <row r="12" spans="1:5" ht="21">
      <c r="A12" s="378"/>
      <c r="B12" s="376"/>
      <c r="C12" s="329"/>
      <c r="D12" s="372"/>
      <c r="E12" s="364"/>
    </row>
    <row r="13" spans="1:5" ht="21">
      <c r="A13" s="378">
        <v>240598</v>
      </c>
      <c r="B13" s="376" t="s">
        <v>244</v>
      </c>
      <c r="C13" s="329">
        <v>1138.4</v>
      </c>
      <c r="D13" s="372"/>
      <c r="E13" s="364"/>
    </row>
    <row r="14" spans="1:5" ht="21">
      <c r="A14" s="378">
        <v>240633</v>
      </c>
      <c r="B14" s="376" t="s">
        <v>407</v>
      </c>
      <c r="C14" s="329">
        <v>8993</v>
      </c>
      <c r="D14" s="372"/>
      <c r="E14" s="364"/>
    </row>
    <row r="15" spans="1:5" ht="21">
      <c r="A15" s="378">
        <v>240646</v>
      </c>
      <c r="B15" s="376" t="s">
        <v>423</v>
      </c>
      <c r="C15" s="329">
        <v>889607.48</v>
      </c>
      <c r="D15" s="379"/>
      <c r="E15" s="364"/>
    </row>
    <row r="16" spans="1:5" ht="21">
      <c r="A16" s="378">
        <v>240647</v>
      </c>
      <c r="B16" s="376" t="s">
        <v>424</v>
      </c>
      <c r="C16" s="329">
        <v>3500</v>
      </c>
      <c r="D16" s="379"/>
      <c r="E16" s="364"/>
    </row>
    <row r="17" spans="1:5" ht="21">
      <c r="A17" s="378">
        <v>240661</v>
      </c>
      <c r="B17" s="376" t="s">
        <v>425</v>
      </c>
      <c r="C17" s="329">
        <v>10866.25</v>
      </c>
      <c r="D17" s="379"/>
      <c r="E17" s="364"/>
    </row>
    <row r="18" spans="1:5" ht="21">
      <c r="A18" s="378">
        <v>240662</v>
      </c>
      <c r="B18" s="376" t="s">
        <v>426</v>
      </c>
      <c r="C18" s="329">
        <v>14061.34</v>
      </c>
      <c r="D18" s="379"/>
      <c r="E18" s="364"/>
    </row>
    <row r="19" spans="1:5" ht="21">
      <c r="A19" s="378">
        <v>240665</v>
      </c>
      <c r="B19" s="376" t="s">
        <v>427</v>
      </c>
      <c r="C19" s="329">
        <v>4880</v>
      </c>
      <c r="D19" s="379"/>
      <c r="E19" s="364"/>
    </row>
    <row r="20" spans="1:5" ht="21">
      <c r="A20" s="378">
        <v>240665</v>
      </c>
      <c r="B20" s="376" t="s">
        <v>428</v>
      </c>
      <c r="C20" s="329">
        <v>1700</v>
      </c>
      <c r="D20" s="379"/>
      <c r="E20" s="364"/>
    </row>
    <row r="21" spans="1:5" ht="21">
      <c r="A21" s="378">
        <v>240665</v>
      </c>
      <c r="B21" s="376" t="s">
        <v>429</v>
      </c>
      <c r="C21" s="329">
        <v>4000</v>
      </c>
      <c r="D21" s="379">
        <f>SUM(C13:C21)</f>
        <v>938746.47</v>
      </c>
      <c r="E21" s="364"/>
    </row>
    <row r="22" spans="1:5" ht="21">
      <c r="A22" s="378"/>
      <c r="B22" s="376"/>
      <c r="C22" s="329"/>
      <c r="D22" s="379"/>
      <c r="E22" s="364"/>
    </row>
    <row r="23" spans="1:5" s="199" customFormat="1" ht="21">
      <c r="A23" s="378"/>
      <c r="B23" s="376"/>
      <c r="C23" s="329"/>
      <c r="E23" s="364"/>
    </row>
    <row r="24" spans="1:5" s="199" customFormat="1" ht="21">
      <c r="A24" s="371" t="s">
        <v>245</v>
      </c>
      <c r="B24" s="372"/>
      <c r="C24" s="372"/>
      <c r="D24" s="380"/>
      <c r="E24" s="364"/>
    </row>
    <row r="25" spans="1:5" s="199" customFormat="1" ht="21">
      <c r="A25" s="381" t="s">
        <v>246</v>
      </c>
      <c r="B25" s="374" t="s">
        <v>401</v>
      </c>
      <c r="C25" s="374" t="s">
        <v>157</v>
      </c>
      <c r="D25" s="380"/>
      <c r="E25" s="364"/>
    </row>
    <row r="26" spans="1:5" s="199" customFormat="1" ht="21">
      <c r="A26" s="372" t="s">
        <v>430</v>
      </c>
      <c r="B26" s="372"/>
      <c r="C26" s="372"/>
      <c r="D26" s="379"/>
      <c r="E26" s="364"/>
    </row>
    <row r="27" spans="1:5" s="199" customFormat="1" ht="21" hidden="1">
      <c r="A27" s="372" t="s">
        <v>410</v>
      </c>
      <c r="B27" s="372"/>
      <c r="C27" s="329"/>
      <c r="D27" s="379"/>
      <c r="E27" s="364"/>
    </row>
    <row r="28" spans="1:5" s="199" customFormat="1" ht="21" hidden="1">
      <c r="A28" s="372" t="s">
        <v>409</v>
      </c>
      <c r="B28" s="372"/>
      <c r="C28" s="329"/>
      <c r="D28" s="379">
        <f>SUM(C27:C28)</f>
        <v>0</v>
      </c>
      <c r="E28" s="364"/>
    </row>
    <row r="29" spans="1:5" s="199" customFormat="1" ht="21" hidden="1">
      <c r="A29" s="372" t="s">
        <v>408</v>
      </c>
      <c r="B29" s="372"/>
      <c r="C29" s="372"/>
      <c r="D29" s="379"/>
      <c r="E29" s="364"/>
    </row>
    <row r="30" spans="1:5" s="199" customFormat="1" ht="21">
      <c r="A30" s="372"/>
      <c r="B30" s="372"/>
      <c r="C30" s="372"/>
      <c r="D30" s="379"/>
      <c r="E30" s="364"/>
    </row>
    <row r="31" spans="1:5" s="199" customFormat="1" ht="21">
      <c r="A31" s="371" t="s">
        <v>417</v>
      </c>
      <c r="B31" s="372"/>
      <c r="C31" s="372"/>
      <c r="D31" s="382">
        <f>+D5-D21-D28</f>
        <v>30929345.25</v>
      </c>
      <c r="E31" s="198"/>
    </row>
    <row r="32" spans="1:5" s="199" customFormat="1" ht="21">
      <c r="A32" s="371"/>
      <c r="B32" s="372"/>
      <c r="C32" s="383"/>
      <c r="D32" s="392">
        <v>30929345.25</v>
      </c>
      <c r="E32" s="198"/>
    </row>
    <row r="33" spans="1:5" s="199" customFormat="1" ht="21">
      <c r="A33" s="384" t="s">
        <v>247</v>
      </c>
      <c r="B33" s="385"/>
      <c r="C33" s="386" t="s">
        <v>248</v>
      </c>
      <c r="D33" s="393">
        <f>+D32-D31</f>
        <v>0</v>
      </c>
      <c r="E33" s="198"/>
    </row>
    <row r="34" spans="1:5" s="199" customFormat="1" ht="21">
      <c r="A34" s="371"/>
      <c r="B34" s="372"/>
      <c r="C34" s="387"/>
      <c r="D34" s="372"/>
      <c r="E34" s="200"/>
    </row>
    <row r="35" spans="1:5" s="199" customFormat="1" ht="21">
      <c r="A35" s="372" t="s">
        <v>249</v>
      </c>
      <c r="B35" s="372" t="s">
        <v>418</v>
      </c>
      <c r="C35" s="388" t="s">
        <v>250</v>
      </c>
      <c r="D35" s="372" t="s">
        <v>418</v>
      </c>
      <c r="E35" s="200"/>
    </row>
    <row r="36" spans="1:5" s="199" customFormat="1" ht="21">
      <c r="A36" s="458" t="s">
        <v>251</v>
      </c>
      <c r="B36" s="459"/>
      <c r="C36" s="460" t="s">
        <v>252</v>
      </c>
      <c r="D36" s="458"/>
      <c r="E36" s="200"/>
    </row>
    <row r="37" spans="1:6" s="200" customFormat="1" ht="21">
      <c r="A37" s="389"/>
      <c r="B37" s="390"/>
      <c r="C37" s="391"/>
      <c r="D37" s="389"/>
      <c r="F37" s="199"/>
    </row>
    <row r="38" spans="1:6" s="200" customFormat="1" ht="21">
      <c r="A38" s="461"/>
      <c r="B38" s="462"/>
      <c r="C38" s="463"/>
      <c r="D38" s="461"/>
      <c r="F38" s="199"/>
    </row>
  </sheetData>
  <sheetProtection/>
  <mergeCells count="7">
    <mergeCell ref="C1:D1"/>
    <mergeCell ref="A2:B3"/>
    <mergeCell ref="C2:D3"/>
    <mergeCell ref="A36:B36"/>
    <mergeCell ref="C36:D36"/>
    <mergeCell ref="A38:B38"/>
    <mergeCell ref="C38:D38"/>
  </mergeCells>
  <printOptions/>
  <pageMargins left="0.69" right="0.1968503937007874" top="0.6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cp:lastPrinted>2015-12-09T03:36:07Z</cp:lastPrinted>
  <dcterms:created xsi:type="dcterms:W3CDTF">1996-10-14T23:33:28Z</dcterms:created>
  <dcterms:modified xsi:type="dcterms:W3CDTF">2015-12-14T06:48:42Z</dcterms:modified>
  <cp:category/>
  <cp:version/>
  <cp:contentType/>
  <cp:contentStatus/>
</cp:coreProperties>
</file>