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tabRatio="918" activeTab="6"/>
  </bookViews>
  <sheets>
    <sheet name="งบทดลอง" sheetId="1" r:id="rId1"/>
    <sheet name="หมายเหตุ 1 รายรับจริง" sheetId="2" r:id="rId2"/>
    <sheet name="หมายเหตุ 2-4" sheetId="3" r:id="rId3"/>
    <sheet name="แนบ2" sheetId="4" r:id="rId4"/>
    <sheet name="ประกันสัญญา" sheetId="5" r:id="rId5"/>
    <sheet name="เงินรอคืนจังหวัด" sheetId="6" r:id="rId6"/>
    <sheet name="งบทดลองหลังปิด" sheetId="7" r:id="rId7"/>
    <sheet name="หมายเหตุ 1-3" sheetId="8" r:id="rId8"/>
    <sheet name="งบแสดงฐานะการเงิน" sheetId="9" r:id="rId9"/>
    <sheet name="หมายเหตุ 1" sheetId="10" r:id="rId10"/>
    <sheet name="หมายเหตุ2" sheetId="11" r:id="rId11"/>
    <sheet name="งบทรัพย์สิน" sheetId="12" r:id="rId12"/>
    <sheet name="เคลื่อนไหว" sheetId="13" r:id="rId13"/>
    <sheet name="หมายเหตุ 3-6" sheetId="14" r:id="rId14"/>
    <sheet name="หมายเหตุ 7" sheetId="15" r:id="rId15"/>
    <sheet name="หมายเหตุ 8-9" sheetId="16" r:id="rId16"/>
    <sheet name="หมายเหตุ 10" sheetId="17" r:id="rId17"/>
    <sheet name="แนบ10" sheetId="18" r:id="rId18"/>
    <sheet name="เงินสะสม" sheetId="19" r:id="rId19"/>
    <sheet name="รับ+อุดหนุน" sheetId="20" r:id="rId20"/>
    <sheet name="รับ" sheetId="21" r:id="rId21"/>
    <sheet name="อุดหนุน" sheetId="22" r:id="rId22"/>
    <sheet name="หมายเหตุ" sheetId="23" r:id="rId23"/>
    <sheet name="รับ+เงินสะสม" sheetId="24" r:id="rId24"/>
  </sheets>
  <definedNames>
    <definedName name="_xlnm.Print_Titles" localSheetId="11">'งบทรัพย์สิน'!$2:$2</definedName>
    <definedName name="_xlnm.Print_Titles" localSheetId="3">'แนบ2'!$6:$7</definedName>
    <definedName name="_xlnm.Print_Titles" localSheetId="1">'หมายเหตุ 1 รายรับจริง'!$5:$5</definedName>
    <definedName name="_xlnm.Print_Titles" localSheetId="14">'หมายเหตุ 7'!$7:$7</definedName>
  </definedNames>
  <calcPr fullCalcOnLoad="1"/>
</workbook>
</file>

<file path=xl/sharedStrings.xml><?xml version="1.0" encoding="utf-8"?>
<sst xmlns="http://schemas.openxmlformats.org/spreadsheetml/2006/main" count="2030" uniqueCount="965">
  <si>
    <t>เทศบาลตำบลหลักช้าง</t>
  </si>
  <si>
    <t>จำนวนเงิน</t>
  </si>
  <si>
    <t>รายการ</t>
  </si>
  <si>
    <t>รหัสบัญชี</t>
  </si>
  <si>
    <t>เดบิท</t>
  </si>
  <si>
    <t>เครดิต</t>
  </si>
  <si>
    <t>เงินฝากธนาคาร ธ.ก.ส.-ออมทรัพย์</t>
  </si>
  <si>
    <t>เงินฝากธนาคารกรุงไทย - ออมทรัพย์</t>
  </si>
  <si>
    <t>เงินฝากธนาคารธ.ก.ส.-ประจำ</t>
  </si>
  <si>
    <t>เงินฝากธนาคารกรุงไทย-ประจำ</t>
  </si>
  <si>
    <t>เงินฝากธนาคารออมสิน - ประจำ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</si>
  <si>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</si>
  <si>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</si>
  <si>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</si>
  <si>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</si>
  <si>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</si>
  <si>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</si>
  <si>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</si>
  <si>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</si>
  <si>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</si>
  <si>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เงินทุนสำรองเงินสะสม</t>
  </si>
  <si>
    <t>เงินรายรับ (หมายเหตุ 1)</t>
  </si>
  <si>
    <t xml:space="preserve">        (นางวาสนา  รักษาแก้ว)                   (นายสุนทร  เสถียรขจรกุล)                    (นายชินวรณ์   วิเชียร)</t>
  </si>
  <si>
    <t xml:space="preserve">         ผู้อำนวยการกองคลัง                      ปลัดเทศบาลตำบลหลักช้าง                นายกเทศมนตรีตำบลหลักช้าง</t>
  </si>
  <si>
    <t>ประมาณการ</t>
  </si>
  <si>
    <t>รับจริง</t>
  </si>
  <si>
    <t>รายได้จัดเก็บเอง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</si>
  <si>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</si>
  <si>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</si>
  <si>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</si>
  <si>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</si>
  <si>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ภาษีบำรุง อบจ. จากสถานค้าปลีกยาสูบ</t>
  </si>
  <si>
    <t>ภาษีบำรุง อบจ. จากสถานค้าปลีกน้ำมัน</t>
  </si>
  <si>
    <t>รวม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</si>
  <si>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</si>
  <si>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</si>
  <si>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</si>
  <si>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</si>
  <si>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</si>
  <si>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</si>
  <si>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ค่าธรรมเนียมเกี่ยวกับทะเบียนราษฎร</t>
  </si>
  <si>
    <t>ค่าธรรมเนียมจอดรถจักรยานยนต์และรถยนต์</t>
  </si>
  <si>
    <t>ค่าปรับการผิดสัญญา</t>
  </si>
  <si>
    <t>ค่าปรับผู้กระทำผิดกฎหมายจราจรทางบก</t>
  </si>
  <si>
    <t>ค่าใบอนุญาตจัดตั้งสถานที่จำหน่ายอาหารหรือสถานที่สะสมอาหารหรือ</t>
  </si>
  <si>
    <t>พื้นที่ใดซึ่งมีพื้นที่เกิน 200 ตรม.</t>
  </si>
  <si>
    <t>ค่าใบอนุญาตจำหน่ายสินค้าในที่หรือทางสาธารณะ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</si>
  <si>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</si>
  <si>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</si>
  <si>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</si>
  <si>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ค่าธรรมเนียมอนุญาตประกอบกิจการน้ำมันเชื้อเพลิง ประเภท 3</t>
  </si>
  <si>
    <t>ค่าธรรมเนียมใบอนุญาตและค่าปรับอื่น ๆ นอกเหนือจากรายการข้างต้น</t>
  </si>
  <si>
    <t>ค่าเช่าหรือค่าบริการสถานที่</t>
  </si>
  <si>
    <t>รายได้จากการขายทอดตลาดในทรัพย์สิน</t>
  </si>
  <si>
    <t>รายได้จากการโอนกิจการสาธารณูปโภค หรือการพาณิชย์</t>
  </si>
  <si>
    <t>เงินปันผลจากโรงพิมพ์ส่วนท้องถิ่น</t>
  </si>
  <si>
    <t>ค่าตอบแทนตามกฎหมายการเดินเรือในน่านน้ำไทย</t>
  </si>
  <si>
    <t>รายได้จากทรัพย์สินอื่น ๆ นอกเหนือจากรายการข้างต้น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</si>
  <si>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</si>
  <si>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</si>
  <si>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เงินช่วยเหลือท้องถิ่นจากการโอนกิจการสาธารณูปโภคและการพาณิชย์</t>
  </si>
  <si>
    <t>เงินช่วยเหลือจากกิจการโรงแรม</t>
  </si>
  <si>
    <t>เงินสะสมจากการโอนกิจการสาธารณูปโภคหรือการพาณิชย์</t>
  </si>
  <si>
    <t>รายได้จากสาธารณูปโภคและการพาณิชย์</t>
  </si>
  <si>
    <t>ค่าจำหน่ายเวชภัณฑ์</t>
  </si>
  <si>
    <t>ค่าขายเศษของ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</si>
  <si>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</si>
  <si>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</si>
  <si>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</si>
  <si>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</si>
  <si>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</si>
  <si>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</si>
  <si>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รายได้เบ็ดเตล็ดอื่น ๆ นอกเหนือจากรายการข้างต้น</t>
  </si>
  <si>
    <t>6) 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</si>
  <si>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</si>
  <si>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</si>
  <si>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1) หมวดภาษีจัดสรร</t>
  </si>
  <si>
    <t>ภาษีมูลค่าเพิ่มตามกฎหมายท้องถิ่น (1 ใน 9)</t>
  </si>
  <si>
    <t>ภาษีมูลค่าเพิ่มตาม พ.ร.บ.กำหนดแผนฯ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</si>
  <si>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</si>
  <si>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</si>
  <si>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</si>
  <si>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</si>
  <si>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</si>
  <si>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</si>
  <si>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ค่าภาคหลวงไม้</t>
  </si>
  <si>
    <t>ค่าภาคหลวงแร่</t>
  </si>
  <si>
    <t>ค่าภาคหลวงปิโตรเลียม</t>
  </si>
  <si>
    <t>รายได้จากกฎหมายอุทยานแห่งชาติ</t>
  </si>
  <si>
    <t>ค่าธรรมเนียมการจดทะเบียนสิทธิและนิติกรรมตามประมวลกฎหมายที่ดิน</t>
  </si>
  <si>
    <t xml:space="preserve">ค่าธรรมเนียมสนามบิน </t>
  </si>
  <si>
    <t>ภาษีจัดสรรอื่น ๆ นอกเหนือจากรายการข้างต้น</t>
  </si>
  <si>
    <t>2) หมวดเงินอุดหนุนทั่วไป</t>
  </si>
  <si>
    <t>รวมรายรับทั้งสิ้น(เดือนนี้)</t>
  </si>
  <si>
    <t>คงเหลือ</t>
  </si>
  <si>
    <t>ประกันสัญญา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</si>
  <si>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</si>
  <si>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</si>
  <si>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</si>
  <si>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</si>
  <si>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</si>
  <si>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</si>
  <si>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รวมรายรับ</t>
  </si>
  <si>
    <t>รายจ่าย</t>
  </si>
  <si>
    <t>รายรับ</t>
  </si>
  <si>
    <t>เงินเดือน (ฝ่ายการเมือง)</t>
  </si>
  <si>
    <t>เงินเดือน (ฝ่ายประจำ)</t>
  </si>
  <si>
    <t>รายจ่ายเพื่อให้ได้มาซึ่งบริการ</t>
  </si>
  <si>
    <t>วัสดุสำนักงาน</t>
  </si>
  <si>
    <t>วัสดุก่อสร้าง</t>
  </si>
  <si>
    <t>วัสดุเชื้อเพลิงและหล่อลื่น</t>
  </si>
  <si>
    <t>ครุภัณฑ์โฆษณาและเผยแพร่</t>
  </si>
  <si>
    <t>ครุภัณฑ์คอมพิวเตอร์</t>
  </si>
  <si>
    <t>ครุภัณฑ์อื่น</t>
  </si>
  <si>
    <t>รายละเอียดประกอบงบทดลอง</t>
  </si>
  <si>
    <t>หมวด/ประเภท/รายการก่อหนี้ผูกพัน</t>
  </si>
  <si>
    <t>เบิกจ่ายแล้ว</t>
  </si>
  <si>
    <t>หมายเหตุ</t>
  </si>
  <si>
    <t>(สัญญาเลขที่/ลว./จำนวนเงิน/วันครบกำหนด)</t>
  </si>
  <si>
    <t>ก่อหนี้ผูกพัน</t>
  </si>
  <si>
    <t>ไม่ก่อหนี้ผูกพัน</t>
  </si>
  <si>
    <t>รวมทั้งสิ้น</t>
  </si>
  <si>
    <t>ประกันสังคม</t>
  </si>
  <si>
    <t>(ลงชื่อ)......................................            (ลงชื่อ)......................................               (ลงชื่อ)................................................</t>
  </si>
  <si>
    <t>เงินประกันการใช้น้ำ</t>
  </si>
  <si>
    <t>ภาษี หัก ณ ที่จ่าย</t>
  </si>
  <si>
    <t>ค่าใช้จ่ายในการจัดเก็บภาษีบำรุงท้องที่ 5%</t>
  </si>
  <si>
    <t>ดอกเบี้ยเงินฝากธนาคาร,กสท.</t>
  </si>
  <si>
    <t>- ค่าจ้างเหมาทำความสะอาดสนง.ทต.หลักช้าง งวดที่ 6</t>
  </si>
  <si>
    <t>- ค่าหนังสือพิมพ์ไทยรัฐ งวดที่ 12</t>
  </si>
  <si>
    <t>ค่าธรรมเนียมกำจัดขยะมูลฝอย</t>
  </si>
  <si>
    <t>ค่าธรรมเนียมน้ำบาดาล</t>
  </si>
  <si>
    <t>รายได้จากสาธารณูปโภคและการพาณิชย์อื่น ๆ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</si>
  <si>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</si>
  <si>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เงินอุดหนุนทั่วไปกำหนดวัตถุประสงค์-เบี้ยยังชีพความพิการ</t>
  </si>
  <si>
    <t>เงินอุดหนุนทั่วไปกำหนดวัตถุประสงค์-การสนับสนุนศพด.(เงินเดือนครูศพด.)</t>
  </si>
  <si>
    <t>เงินอุดหนุนทั่วไปกำหนดวัตถุประสงค์-การสนับสนุนศพด.(ค่าจ้างชั่วคราวครูศพด.)</t>
  </si>
  <si>
    <t>เงินอุดหนุนทั่วไปกำหนดวัตถุประสงค์-การสนับสนุนศพด.(ประกันสังคมครูศพด.)</t>
  </si>
  <si>
    <t>เงินอุดหนุนทั่วไปกำหนดวัตถุประสงค์-การสนับสนุนศพด.(ค่าจัดการเรียนการสอน)</t>
  </si>
  <si>
    <t>เงินอุดหนุนทั่วไปเพื่อสนับสนุนการบริหารจัดการของอปท.การพัฒนาประเทศ</t>
  </si>
  <si>
    <t>เงินอุดหนุนทั่วไประบุวัตถุประสงค์เพื่อพัฒนาประเทศ</t>
  </si>
  <si>
    <t>เงินอุดหนุนทั่วไปตามภารกิจถ่ายโอน-การสงเคราะห์เบี้ยยังชีพผู้ป่วยเอดส์</t>
  </si>
  <si>
    <t>เงินอุดหนุนทั่วไปตามภารกิจถ่ายโอน-อาหารเสริม(นม)</t>
  </si>
  <si>
    <t>เงินอุดหนุนทั่วไปตามภารกิจถ่ายโอน-อาหารกลางวัน</t>
  </si>
  <si>
    <t>เงินอุดหนุนทั่วไปตามภารกิจถ่ายโอน-ส่งเสริมศักยภาพการจัดการศึกษา</t>
  </si>
  <si>
    <t>เงินอุดหนุนทั่วไปตามอำนาจหน้าที่</t>
  </si>
  <si>
    <t>เงินอุดหนุนทั่วไปตามภารกิจถ่ายโอน-การบริการสาธารณสุข</t>
  </si>
  <si>
    <t>เงินอุดหนุนทั่วไปกำหนดวัตถุประสงค์-การป้องกันและแก้ไขปัญหายาเสพติด</t>
  </si>
  <si>
    <t>เงินอุดหนุนเฉพาะกิจ</t>
  </si>
  <si>
    <t>เงินฝากธนาคาร ธ.ก.ส.-ออมทรัพย์(เงินทุนโครงการเศรษฐกิจชุมชน)</t>
  </si>
  <si>
    <t>เงินอุดหนุนเฉพาะกิจก่อสร้างอาคารศูนย์พัฒนาเด็กเล็ก</t>
  </si>
  <si>
    <t>3) หมวดเงินอุดหนุนเฉพาะกิจ</t>
  </si>
  <si>
    <t>ลูกหนี้ภาษีโรงเรือนและที่ดิน</t>
  </si>
  <si>
    <t>ลูกหนี้ภาษีบำรุงท้องที่</t>
  </si>
  <si>
    <t>เงินอุดหนุนเฉพาะกิจก่อสร้างถนนลาดยาง</t>
  </si>
  <si>
    <t>ภาษีและค่าธรรมเนียมรถยนต์หรือล้อเลื่อน</t>
  </si>
  <si>
    <t>ณ  วันที่  30 กันยายน 2558</t>
  </si>
  <si>
    <t>ณ 30 ก.ย. 58</t>
  </si>
  <si>
    <t>ปรับปรุง</t>
  </si>
  <si>
    <t>เงินรอคืนจังหวัด</t>
  </si>
  <si>
    <t>รายได้จากรัฐบาลค้างรับ</t>
  </si>
  <si>
    <t>เงินอุดหนุนเฉพาะกิจกล้องวงจรปิด (CCTV)</t>
  </si>
  <si>
    <t>ลูกหนี้รายได้อื่นๆ</t>
  </si>
  <si>
    <t>เงินรายรับ</t>
  </si>
  <si>
    <t>ลูกหนี้เงินสะสม</t>
  </si>
  <si>
    <t>เจ้าหนี้เงินสะสม</t>
  </si>
  <si>
    <t>511000</t>
  </si>
  <si>
    <t>เงินฝากเงินทุนส่งเสริมกิจการเทศบาล</t>
  </si>
  <si>
    <t>จำนวนเงินขอเบิกตัดปี ณ 30 กันยายน 2558</t>
  </si>
  <si>
    <t>- ค่าจ้างเหมาประกอบอาหารกลางวันศพด. งวดที่ 10</t>
  </si>
  <si>
    <t>- ค่าจ้างเหมาประกอบอาหารกลางวันศพด. งวดที่ 8</t>
  </si>
  <si>
    <t>- ค่าจ้างเหมาทำความสะอาดศูนย์พัฒนาเด็กเล็ก งวดที่ 2</t>
  </si>
  <si>
    <t>- ค่าวัสดุอาหารเสริม(นม) งวดที่ 3-4</t>
  </si>
  <si>
    <t>- ค่าจ้างเหมาเก็บขนขยะมูลฝอยและสิ่งปฏิกูล งวดที่ 3</t>
  </si>
  <si>
    <t>- ค่าจ้างเหมาซ่อมแซมถนนสายหูนบหนองซอม หมู่ที่ 3</t>
  </si>
  <si>
    <t>- ค่าจ้างเหมาซ่อมแซมถนนสายซอยวาสนา หมู่ที่ 4</t>
  </si>
  <si>
    <t>- ค่าจ้างเหมาขุดลอกกำจัดสิ่งกีดขวางทางน้ำที่อุดช่องทาง</t>
  </si>
  <si>
    <t xml:space="preserve">  ระบายน้ำ หมู่ที่ 10</t>
  </si>
  <si>
    <t>- ค่าจ้างเหมาจัดเก็บค่าขยะ งวดที่ 6</t>
  </si>
  <si>
    <t>- ค่าจ้างเหมาจัดเก็บค่าน้ำประปา งวดที่ 6</t>
  </si>
  <si>
    <t>- ค่าจ้างเหมารักษาความปลอดภัยสนง.ทต.หลักช้าง งวดที่ 6</t>
  </si>
  <si>
    <t>- โครงการก่อสร้างถนนลาดยางสายวังชุม 2 ตอน 3 หมู่ 5</t>
  </si>
  <si>
    <t>- ค่าจ้างเหมาเก็บขนขยะมูลฝอยและสิ่งปฏิกูล งวดที่ 2-3</t>
  </si>
  <si>
    <t>- ถังขยะ ขนาดบรรจุไม่ต่ำกว่า 200 ลิตร(พร้อมสกรีน)</t>
  </si>
  <si>
    <t>- ติดตั้งกล้องวงจรปิด (CCTV) แบบ IP/Network Cameras</t>
  </si>
  <si>
    <t>- ค่าวัสดุอาหารเสริม(นม) งวดที่ 3-5</t>
  </si>
  <si>
    <t>- เครื่องคอมพิวเตอร์โน๊คบุ๊ค</t>
  </si>
  <si>
    <t>- เครื่องสูบน้ำแบบหอยโข่ง มอเตอร์ไฟฟ้า</t>
  </si>
  <si>
    <t>- โครงการเจาะบ่อน้ำบาดาลบริเวณพื้นที่ หมู่ 5</t>
  </si>
  <si>
    <t>- โครงการปรับปรุงผิวจราจรถนนลาดยางแอสฟัลท์ติก</t>
  </si>
  <si>
    <t xml:space="preserve">  คอนกรีตสายควนโด หมู่ 7</t>
  </si>
  <si>
    <t>- เครื่องพิมพ์ชนิด Dot Matrix Printer แบบแคร่สั้น</t>
  </si>
  <si>
    <t>- เครื่องคอมพิวเตอร์ สำหรับงานประมวลผล แบบที่ 1</t>
  </si>
  <si>
    <t>- เครื่องสำรองไฟฟ้า ขนาด 800VA</t>
  </si>
  <si>
    <t xml:space="preserve"> งบทดลอง (ก่อนปิดบัญชี)</t>
  </si>
  <si>
    <t xml:space="preserve"> รายรับจริงประกอบงบทดลอง</t>
  </si>
  <si>
    <t>1) หมวดภาษีอากร</t>
  </si>
  <si>
    <t>2) หมวดค่าธรรมเนียม ค่าปรับ และใบอนุญาต</t>
  </si>
  <si>
    <t>ค่าธรรมเนียมเก็บและขนมูลฝอย</t>
  </si>
  <si>
    <t>ค่าธรรมเนียมเกี่ยวกับการตั้งสุสานและฌาปนสถาน</t>
  </si>
  <si>
    <t>ค่าธรรมเนียมจดทะเบียนพาณิชย์</t>
  </si>
  <si>
    <t>3) หมวดรายได้จากทรัพย์สิน</t>
  </si>
  <si>
    <t>4) หมวดรายได้จากสาธารณูปโภคและการพาณิชย์</t>
  </si>
  <si>
    <t>5) หมวดรายได้เบ็ดเตล็ด</t>
  </si>
  <si>
    <t>รวมรายรับทั้งสิ้น</t>
  </si>
  <si>
    <t>รายจ่ายค้างจ่าย (หมายเหตุ 2)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</si>
  <si>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2)</t>
    </r>
  </si>
  <si>
    <t>หมวดที่จ่าย</t>
  </si>
  <si>
    <r>
      <rPr>
        <b/>
        <u val="single"/>
        <sz val="16"/>
        <rFont val="TH SarabunPSK"/>
        <family val="2"/>
      </rPr>
      <t>ฎีกาค้างจ่าย</t>
    </r>
    <r>
      <rPr>
        <b/>
        <sz val="16"/>
        <rFont val="TH SarabunPSK"/>
        <family val="2"/>
      </rPr>
      <t xml:space="preserve"> (หมายเหตุ 3)</t>
    </r>
  </si>
  <si>
    <t>ฎีกาค้างจ่าย (หมายเหตุ 3)</t>
  </si>
  <si>
    <t xml:space="preserve">เงินรับฝาก (หมายเหตุ 4)  </t>
  </si>
  <si>
    <r>
      <rPr>
        <b/>
        <u val="single"/>
        <sz val="16"/>
        <rFont val="TH SarabunPSK"/>
        <family val="2"/>
      </rPr>
      <t>เงินรับฝาก</t>
    </r>
    <r>
      <rPr>
        <b/>
        <sz val="16"/>
        <rFont val="TH SarabunPSK"/>
        <family val="2"/>
      </rPr>
      <t xml:space="preserve"> (หมายเหตุ 4)</t>
    </r>
  </si>
  <si>
    <t xml:space="preserve"> งบทดลอง (หลังปิดบัญชี)</t>
  </si>
  <si>
    <t>รายจ่ายค้างจ่าย (หมายเหตุ 1)</t>
  </si>
  <si>
    <t>ฎีกาค้างจ่าย (หมายเหตุ 2)</t>
  </si>
  <si>
    <t xml:space="preserve">เงินรับฝาก (หมายเหตุ 3)  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</si>
  <si>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1)</t>
    </r>
  </si>
  <si>
    <r>
      <rPr>
        <b/>
        <u val="single"/>
        <sz val="16"/>
        <rFont val="TH SarabunPSK"/>
        <family val="2"/>
      </rPr>
      <t>ฎีกาค้างจ่าย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</si>
  <si>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>เงินรับฝาก</t>
    </r>
    <r>
      <rPr>
        <b/>
        <sz val="16"/>
        <rFont val="TH SarabunPSK"/>
        <family val="2"/>
      </rPr>
      <t xml:space="preserve"> (หมายเหตุ 3)</t>
    </r>
  </si>
  <si>
    <t>งบแสดงผลการดำเนินงานจ่ายจากเงินรายรับ</t>
  </si>
  <si>
    <t>บริหารงานทั่วไป</t>
  </si>
  <si>
    <t>การรักษาความ</t>
  </si>
  <si>
    <t>การศึกษา</t>
  </si>
  <si>
    <t>สาธารณสุข</t>
  </si>
  <si>
    <t>เคหะและชุมชน</t>
  </si>
  <si>
    <t>สร้างความ</t>
  </si>
  <si>
    <t>การศาสนา วัฒนธรรม</t>
  </si>
  <si>
    <t>อุตสาหกรรม</t>
  </si>
  <si>
    <t>สงบภายใน</t>
  </si>
  <si>
    <t>และนันทนาการ</t>
  </si>
  <si>
    <t>ค่าใช้สอย (หมายเหตุ 3)</t>
  </si>
  <si>
    <t>ค่าวัสดุ (หมายเหตุ 4)</t>
  </si>
  <si>
    <t>รายได้จากสาธาณูปโภคและการพาณิชย์</t>
  </si>
  <si>
    <t>รัฐบาลจัดสรรให้</t>
  </si>
  <si>
    <t>รายรับสูงกว่ารายจ่าย</t>
  </si>
  <si>
    <t xml:space="preserve">      (นายสุนทร   เสถียรขจรกุล)</t>
  </si>
  <si>
    <t xml:space="preserve">      (นางวาสนา   รักษาแก้ว)</t>
  </si>
  <si>
    <t xml:space="preserve">       ปลัดเทศบาลตำบลหลักช้าง</t>
  </si>
  <si>
    <t xml:space="preserve">         ผู้อำนวยการกองคลัง</t>
  </si>
  <si>
    <t>ผู้อำนวยการกองคลัง</t>
  </si>
  <si>
    <t>ปลัดเทศบาลตำบลหลักช้าง</t>
  </si>
  <si>
    <t>นายกเทศมนตรีตำบลหลักช้าง</t>
  </si>
  <si>
    <t>(นางวาสนา   รักษาแก้ว)</t>
  </si>
  <si>
    <t>(นายสุนทร   เสถียรขจรกุล)</t>
  </si>
  <si>
    <t>(นายชินวรณ์  วิเชียร)</t>
  </si>
  <si>
    <t>ลงชื่อ .........................................................</t>
  </si>
  <si>
    <t>ลงชื่อ .......................................................</t>
  </si>
  <si>
    <t>ลงชื่อ ............................................................</t>
  </si>
  <si>
    <t>และการโยธา</t>
  </si>
  <si>
    <t>งบแสดงผลการดำเนินงานจ่ายจากเงินรายรับ (ไม่รวมเงินอุดหนุนเฉพาะกิจ)</t>
  </si>
  <si>
    <t>เบี้ยงยังชีพผู้สูงอายุ</t>
  </si>
  <si>
    <t>เบี้ยงยังชีพผู้พิการ</t>
  </si>
  <si>
    <t>รายรับสูงหรือ  (ต่ำกว่า) รายจ่าย</t>
  </si>
  <si>
    <t>ลงชื่อ ...................................................</t>
  </si>
  <si>
    <t>ลงชื่อ ...............................................</t>
  </si>
  <si>
    <t>ลงชื่อ ...........................................</t>
  </si>
  <si>
    <t xml:space="preserve">     (นายชินวรณ์  วิเชียร)</t>
  </si>
  <si>
    <t xml:space="preserve">   นายกเทศมนตรีตำบลหลักช้าง</t>
  </si>
  <si>
    <t>ตั้งแต่วันที่ 1 ตุลาคม 2557  ถึงวันที่ 30 กันยายน 2558</t>
  </si>
  <si>
    <t>เงินอุดหนุนทั่วไประบุวัตถุประสงค์</t>
  </si>
  <si>
    <t xml:space="preserve"> เงินเดือน (ฝ่ายการเมือง)</t>
  </si>
  <si>
    <t>เข้มแข็งของชุมชน</t>
  </si>
  <si>
    <t>การศาสนาวัฒนธรรม</t>
  </si>
  <si>
    <t>การเกษตร</t>
  </si>
  <si>
    <t>การพาณิชย์</t>
  </si>
  <si>
    <t>งบแสดงผลการดำเนินงานจ่ายจากเงินอุดหนุนทั่วไปกำหนดวัตถุประสงค์และเงินอุดหนุนเฉพาะกิจ</t>
  </si>
  <si>
    <t>โครงการก่อสร้างอาคารศูนย์พัฒนาเด็กเล็ก</t>
  </si>
  <si>
    <t>เงินเดือนครูศพด.</t>
  </si>
  <si>
    <t>โครงการก่อสร้างถนนลาดยาง</t>
  </si>
  <si>
    <t>ค่าจ้างชั่วคราวครูศพด.</t>
  </si>
  <si>
    <t>กล้องวงจรปิด CCTV</t>
  </si>
  <si>
    <t>เงินสมบกองทุนประกันสังคมครูศพด.</t>
  </si>
  <si>
    <t>ค่าจัดการเรียนการสอนศพด.</t>
  </si>
  <si>
    <t>โครงการป้องกันและแก้ไขปัญหายาเสพติด</t>
  </si>
  <si>
    <t>เพื่อพัฒนาประเทศ</t>
  </si>
  <si>
    <t>หมายเหตุประกอบงบแสดงผลการดำเนินงาน</t>
  </si>
  <si>
    <t>หมายเหตุ 1</t>
  </si>
  <si>
    <t>จ่ายจากเงินรายรับ</t>
  </si>
  <si>
    <t>จ่ายจากเงินอุดหนุนเฉพาะกิจ</t>
  </si>
  <si>
    <t>หมายเหตุ 2</t>
  </si>
  <si>
    <t>หมายเหตุ 3</t>
  </si>
  <si>
    <t>หมายเหตุ 4</t>
  </si>
  <si>
    <t>หมายเหตุ 5</t>
  </si>
  <si>
    <t>งบกลาง (หมายเหตุ 1)</t>
  </si>
  <si>
    <t xml:space="preserve"> เงินเดือน (ฝ่ายประจำ) (หมายเหตุ 2)</t>
  </si>
  <si>
    <t>ค่าครุภัณฑ์ (หมายเหตุ 5)</t>
  </si>
  <si>
    <t>ค่าที่ดินและสิ่งก่อสร้าง (หมายเหตุ 6)</t>
  </si>
  <si>
    <t>หมายเหตุ 6</t>
  </si>
  <si>
    <t>งบกลาง (หมายตเหตุ 1)</t>
  </si>
  <si>
    <t>เงินเดือน (ฝ่ายประจำ) (หมายเหตุ 2)</t>
  </si>
  <si>
    <t>ค่าครุภัณฑ์  (หมายเหตุ 5)</t>
  </si>
  <si>
    <t>ค่าที่ดินและสิ่งก่อสร้าง  (หมายเหตุ 6)</t>
  </si>
  <si>
    <t>เงินอุดหนุนทั่วไปตามอำนาจหน้าที่และภารกิจถ่ายโอน</t>
  </si>
  <si>
    <t>งบแสดงฐานะการเงิน</t>
  </si>
  <si>
    <t xml:space="preserve">ทรัพย์สินตามงบทรัพย์สิน </t>
  </si>
  <si>
    <t xml:space="preserve">ทุนทรัพย์สิน </t>
  </si>
  <si>
    <t xml:space="preserve">รายจ่ายค้างจ่าย </t>
  </si>
  <si>
    <t xml:space="preserve">เงินสะสม </t>
  </si>
  <si>
    <t>ณ วันที่ 30 กันยายน 2558</t>
  </si>
  <si>
    <t>สินทรัพย์</t>
  </si>
  <si>
    <t>สินทรัพย์หมุนเวียน</t>
  </si>
  <si>
    <t>เงินสดและเงินฝากธนาคาร</t>
  </si>
  <si>
    <t>เงินฝากเงินทุนส่งเสริมกิจการเทศบาล (ก.ส.ท.)</t>
  </si>
  <si>
    <t>ลูกหนี้ค่าภาษี</t>
  </si>
  <si>
    <t>ลูกหนี้รายได้อื่น ๆ</t>
  </si>
  <si>
    <t>หมายเหตุประกอบงบแสดงฐานะการเงิน</t>
  </si>
  <si>
    <t>สำหรับปี สิ้นสุดวันที่ 30 กันยายน 2558</t>
  </si>
  <si>
    <t>ข้อมูลทั่วไป</t>
  </si>
  <si>
    <t>หมายเหตุ 1  สรุปนโยบายการบัญชีที่สำคัญ</t>
  </si>
  <si>
    <t>1.1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</si>
  <si>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</si>
  <si>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</si>
  <si>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เมื่อวันที่ 20 มีนาคม พ.ศ. 2558 และหนังสือสั่งการที่เกี่ยวข้อง</t>
  </si>
  <si>
    <t>ประเภททรัพย์สิน</t>
  </si>
  <si>
    <t>ราคาทรัพย์สิน</t>
  </si>
  <si>
    <t>ชื่อ</t>
  </si>
  <si>
    <t>ก. อสังหาริมทรัพย์</t>
  </si>
  <si>
    <t>1. ที่ดิน</t>
  </si>
  <si>
    <t>2. อาคารสำนักงาน</t>
  </si>
  <si>
    <t>รายได้</t>
  </si>
  <si>
    <t>3. อาคารศูนย์พัฒนาเด็กเล็ก</t>
  </si>
  <si>
    <t>4. อาคารศูนย์ อปพร.</t>
  </si>
  <si>
    <t>5. ระบบประปา</t>
  </si>
  <si>
    <t>6. เอนกประสงค์</t>
  </si>
  <si>
    <t>7. ทรัพย์สินอื่น</t>
  </si>
  <si>
    <t>ข. สังหาริมทรัพย์</t>
  </si>
  <si>
    <t>1. ครุภัณฑ์สำนักงาน</t>
  </si>
  <si>
    <t>2. ครุภัณฑ์ยานพาหนะและขนส่ง</t>
  </si>
  <si>
    <t>3. ครุภัณฑ์การเกษตร</t>
  </si>
  <si>
    <t>9. ครุภัณฑ์โรงงาน</t>
  </si>
  <si>
    <t>12. ครุภัณฑ์อื่น</t>
  </si>
  <si>
    <t>หมายเหตุ 2  งบทรัพย์สิน</t>
  </si>
  <si>
    <t>แหล่งที่มาของทรัพย์สินทั้งหมด</t>
  </si>
  <si>
    <t>หมายเหตุ 3  เงินสดและเงินฝากธนาคาร</t>
  </si>
  <si>
    <t>เงินฝากธนาคาร ธ.ก.ส. ประเภทออมทรัพย์ เลขที่ 012152377293</t>
  </si>
  <si>
    <t>เงินฝากธนาคาร ธ.ก.ส. ประเภทออมทรัพย์ (เงินทุนโครงการเศรษฐกิจชุมชน)</t>
  </si>
  <si>
    <t>เลขที่ 012152481991</t>
  </si>
  <si>
    <t>เงินฝากธนาคารกรุงไทย ประเภทออมทรัพย์ เลขที่ 8350109726</t>
  </si>
  <si>
    <t>เงินฝากธนาคารธ.ก.ส. ประเภทประจำ เลขที่ 2154200119</t>
  </si>
  <si>
    <t>เงินฝากธนาคารกรุงไทย ประเภทประจำ เลขที่ 8352016520</t>
  </si>
  <si>
    <t>เงินฝากธนาคารออมสิน ประเภทประจำ</t>
  </si>
  <si>
    <t>หมายเหตุ 4  รายได้จากรัฐบาลค้างรับ</t>
  </si>
  <si>
    <t>หมายเหตุ 5  ลูกหนี้ค่าภาษี</t>
  </si>
  <si>
    <t>ประเภทลูกหนี้</t>
  </si>
  <si>
    <t>ประจำปี</t>
  </si>
  <si>
    <t>จำนวนราย</t>
  </si>
  <si>
    <t>ลูกหนี้ค่าน้ำประปา</t>
  </si>
  <si>
    <t xml:space="preserve">หมายเหตุ 6  ลูกหนี้รายได้อื่น ๆ 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</si>
  <si>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</si>
  <si>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</si>
  <si>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</si>
  <si>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</si>
  <si>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</si>
  <si>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</si>
  <si>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งบประมาณ</t>
  </si>
  <si>
    <t>หมายเหตุ 7  รายจ่ายค้างจ่าย</t>
  </si>
  <si>
    <t>หมายเหตุ 8  ฎีกาค้างจ่าย</t>
  </si>
  <si>
    <t>เลขที่ผู้เบิก</t>
  </si>
  <si>
    <t>ค่าจ้างเหมาประกอบอาหารกลางวันศพด. งวดที่ 10</t>
  </si>
  <si>
    <t>ค่าจ้างเหมาประกอบอาหารกลางวันศพด. งวดที่ 8</t>
  </si>
  <si>
    <t>ค่าจ้างเหมาทำความสะอาดศูนย์พัฒนาเด็กเล็ก งวดที่ 2</t>
  </si>
  <si>
    <t>ค่าจ้างเหมาเก็บขนขยะมูลฝอยและสิ่งปฏิกูล งวดที่ 3</t>
  </si>
  <si>
    <t>ค่าจ้างเหมาจัดเก็บค่าขยะ งวดที่ 6</t>
  </si>
  <si>
    <t>ค่าจ้างเหมาจัดเก็บค่าน้ำประปา งวดที่ 6</t>
  </si>
  <si>
    <t>ค่าจ้างเหมารักษาความปลอดภัยสนง.ทต.หลักช้าง งวดที่ 6</t>
  </si>
  <si>
    <t>ค่าจ้างเหมาทำความสะอาดสนง.ทต.หลักช้าง งวดที่ 6</t>
  </si>
  <si>
    <t>ค่าจ้างเหมาเก็บขนขยะมูลฝอยและสิ่งปฏิกูล งวดที่ 2-3</t>
  </si>
  <si>
    <t>ค่าวัสดุอาหารเสริม(นม) งวดที่ 3-5</t>
  </si>
  <si>
    <t>ค่าวัสดุอาหารเสริม(นม) งวดที่ 3-4</t>
  </si>
  <si>
    <t>ค่าหนังสือพิมพ์ไทยรัฐ งวดที่ 12</t>
  </si>
  <si>
    <t>ถังขยะ ขนาดบรรจุไม่ต่ำกว่า 200 ลิตร(พร้อมสกรีน)</t>
  </si>
  <si>
    <t>ค่าจ้างเหมาซ่อมแซมถนนสายหูนบหนองซอม หมู่ที่ 3</t>
  </si>
  <si>
    <t>ค่าจ้างเหมาซ่อมแซมถนนสายซอยวาสนา หมู่ที่ 4</t>
  </si>
  <si>
    <t>ติดตั้งกล้องวงจรปิด (CCTV) แบบ IP/Network Cameras</t>
  </si>
  <si>
    <t>เครื่องคอมพิวเตอร์โน๊คบุ๊ค</t>
  </si>
  <si>
    <t>เครื่องสูบน้ำแบบหอยโข่ง มอเตอร์ไฟฟ้า</t>
  </si>
  <si>
    <t>เครื่องพิมพ์ชนิด Dot Matrix Printer แบบแคร่สั้น</t>
  </si>
  <si>
    <t>เครื่องคอมพิวเตอร์ สำหรับงานประมวลผล แบบที่ 1</t>
  </si>
  <si>
    <t>เครื่องสำรองไฟฟ้า ขนาด 800VA</t>
  </si>
  <si>
    <t>โครงการก่อสร้างถนนลาดยางสายวังชุม 2 ตอน 3 หมู่ 5</t>
  </si>
  <si>
    <t>โครงการเจาะบ่อน้ำบาดาลบริเวณพื้นที่ หมู่ 5</t>
  </si>
  <si>
    <t>871/2558</t>
  </si>
  <si>
    <t>บริหารทั่วไปเกี่ยวกับเคหะและชุมชน</t>
  </si>
  <si>
    <t>ค่าใช้จ่ายในการเดินทางไปราชการ</t>
  </si>
  <si>
    <t>872/2558</t>
  </si>
  <si>
    <t>ค่าตอบแทนผู้ปฏิบัติราชการอันเป็นประโยชน์แก่อปท.</t>
  </si>
  <si>
    <t>881/2558</t>
  </si>
  <si>
    <t>877/2558</t>
  </si>
  <si>
    <t>บริหารงานคลัง</t>
  </si>
  <si>
    <t>878/2558</t>
  </si>
  <si>
    <t>879/2558</t>
  </si>
  <si>
    <t>บริหารทั่วไป</t>
  </si>
  <si>
    <t>880/2558</t>
  </si>
  <si>
    <t>883/2558</t>
  </si>
  <si>
    <t>885/2558</t>
  </si>
  <si>
    <t>882/2557</t>
  </si>
  <si>
    <t>884/2558</t>
  </si>
  <si>
    <t>กำจัดขยะมูลฝอยและสิ่งปฏิกูล</t>
  </si>
  <si>
    <t>ระดับก่อนวัยเรียนและประถมศึกษา</t>
  </si>
  <si>
    <t>ค่าอาหารเสริม (นม)</t>
  </si>
  <si>
    <t>รายจ่ายเกี่ยวเนื่องกับการปฏิบัติราชการที่ไม่เข้าลักษณะรายจ่ายหมวดอื่นๆ</t>
  </si>
  <si>
    <t>โครงการปรับปรุงผิวจราจรถนนลาดยางแอสฟัลท์ติกคอนกรีตสายควนโด หมู่ 7</t>
  </si>
  <si>
    <t>บริการสาธารณสุขและงานสาธารณสุขอื่น</t>
  </si>
  <si>
    <t>วัสดุอื่น</t>
  </si>
  <si>
    <t>ค่าบำรุงรักษาและปรับปรุงครุภัณฑ์</t>
  </si>
  <si>
    <t>ค่าจ้างเหมาขุดลอกกำจัดสิ่งกีดขวางทางน้ำที่อุดช่องทางระบายน้ำ หมู่ที่ 10</t>
  </si>
  <si>
    <t>อุดหนุนเฉพาะกิจ</t>
  </si>
  <si>
    <t>ป้องกันภัยฝ่ายพลเรือนและระงับอัคคีภัย</t>
  </si>
  <si>
    <t>การรักษาความสงบภายใน</t>
  </si>
  <si>
    <t>อุตสาหกรรมและการโยธา</t>
  </si>
  <si>
    <t>ก่อสร้างโครงสร้างพื้นฐาน</t>
  </si>
  <si>
    <t>ค่าก่อสร้างสิ่งสาธารณูปโภค</t>
  </si>
  <si>
    <t>หนี้สิน</t>
  </si>
  <si>
    <t>หนี้สินหมุนเวียน</t>
  </si>
  <si>
    <t>ฎีกาค้างจ่าย</t>
  </si>
  <si>
    <t>เงินรับฝาก</t>
  </si>
  <si>
    <t>หมายเหตุ 9  เงินรับฝาก</t>
  </si>
  <si>
    <t>รวมสินทรัพย์หมุนเวียน</t>
  </si>
  <si>
    <t>รวมสินทรัพย์</t>
  </si>
  <si>
    <t>รวมหนี้สินหมุนเวียน</t>
  </si>
  <si>
    <t>รวมหนี้สิน</t>
  </si>
  <si>
    <t>รวมเงินสะสม</t>
  </si>
  <si>
    <t>รวมหนี้สินและเงินสะสม</t>
  </si>
  <si>
    <t>หมายเหตุประกอบงบแสดงฐานะการเงินเป็นส่วนหนึ่งของงบการเงินนี้</t>
  </si>
  <si>
    <r>
      <t>บวก</t>
    </r>
    <r>
      <rPr>
        <sz val="16"/>
        <rFont val="TH SarabunPSK"/>
        <family val="2"/>
      </rPr>
      <t xml:space="preserve"> </t>
    </r>
  </si>
  <si>
    <t>รายรับจริงสูงกว่ารายจ่ายจริงหลังหักเงินทุนสำรองเงินสะสม</t>
  </si>
  <si>
    <t>รายจ่ายค้างจ่ายเหลือจ่าย</t>
  </si>
  <si>
    <t>หัก</t>
  </si>
  <si>
    <t>จ่ายขาดเงินสะสม</t>
  </si>
  <si>
    <t>หมายเหตุ 10  เงินสะสม</t>
  </si>
  <si>
    <t>เงินสะสม 1 ตุลาคม 2557</t>
  </si>
  <si>
    <t>รายรับจริงสูงกว่ารายจ่ายจริง</t>
  </si>
  <si>
    <r>
      <t>หัก</t>
    </r>
    <r>
      <rPr>
        <sz val="16"/>
        <rFont val="TH SarabunPSK"/>
        <family val="2"/>
      </rPr>
      <t xml:space="preserve"> 25% ของรายรับจริงสูงกว่ารายจ่ายจริง</t>
    </r>
  </si>
  <si>
    <t>(เงินทุนสำรองเงินสะสม)</t>
  </si>
  <si>
    <t>รายการปรับปรุง</t>
  </si>
  <si>
    <t>รับคืนเงินสะสม</t>
  </si>
  <si>
    <t>เงินสะสม 30 กันยายน  2558</t>
  </si>
  <si>
    <t>เงินสะสม 30 กันยายน 2558 ประกอบด้วย</t>
  </si>
  <si>
    <t>1. เงินฝากเงินทุนส่งเสริมกิจการเทศบาล (ก.ส.ท.)</t>
  </si>
  <si>
    <t>2. ลูกหนี้ค่าภาษี</t>
  </si>
  <si>
    <t>3. ลูกหนี้รายได้อื่น ๆ</t>
  </si>
  <si>
    <t>4. เงินสะสมที่สามารถนำไปใช้ได้</t>
  </si>
  <si>
    <t>และจะเบิกจ่ายในปีงบประมาณต่อไป ตามรายละเอียดเนบท้ายหมายเหตุ 10</t>
  </si>
  <si>
    <t>รายละเอียดแนบท้ายหมายเหตุ 10  เงินสะสม</t>
  </si>
  <si>
    <t>จำนวนเงินที่ได้รับอนุมัติ</t>
  </si>
  <si>
    <t>ยังไม่ได้ก่อหนี้ผูกพัน</t>
  </si>
  <si>
    <t>โครงการซ่อมแซมถนนสายข้างสนามกีฬา หมู่ที่ 4</t>
  </si>
  <si>
    <t>โครงการซ่อมแซมถนนสายประชาอุทิศ 1,2 หมู่ที่ 5</t>
  </si>
  <si>
    <t>โครงการซ่อมแซมถนนสายซอยบ้านนาใหม่ หมู่ที่ 5</t>
  </si>
  <si>
    <t>โครงการซ่อมแซมถนนสายบ้านนางยวน หมู่ที่ 5</t>
  </si>
  <si>
    <t>โครงการซ่อมแซมถนนสายบ้านวังชุม 1 ช่วงหมู่ที่ 6</t>
  </si>
  <si>
    <t>โครงการซ่อมแซมถนนสายบ้านบนควน-หลักช้าง หมู่ที่ 6,8</t>
  </si>
  <si>
    <t>โครงการถมหลุมบ่อถนนสายนาหรำ-คลองจันดี หมู่ที่ 5,9,2,10</t>
  </si>
  <si>
    <t>โครงการซ่อมแซมถนนสายประชาอุทิศ หมู่ที่ 8</t>
  </si>
  <si>
    <t>ค่าบำรุงรักษาและปรับปรุงที่ดินและสิ่งก่อสร้าง</t>
  </si>
  <si>
    <t>โครงการซ่อมแซมถนนสายหราด หมู่ที่ 2,9</t>
  </si>
  <si>
    <t>ทั้งนี้ในปีงบประมาณ 2558 ได้รับการอนุมัติให้จ่ายเงินสะสมที่อยู่ระหว่างดำเนินการ  จำนวน 718,500.00 บาท</t>
  </si>
  <si>
    <t>รายงานรายจ่ายในการดำเนินงานที่จ่ายจากเงินสะสม</t>
  </si>
  <si>
    <t xml:space="preserve">ค่าวัสดุ </t>
  </si>
  <si>
    <t>งบ</t>
  </si>
  <si>
    <t>งบบุคลากร</t>
  </si>
  <si>
    <t>งบดำเนินงาน</t>
  </si>
  <si>
    <t>งบลงทุน</t>
  </si>
  <si>
    <t>งบเงินอุดหนุน</t>
  </si>
  <si>
    <t xml:space="preserve"> นายกเทศมนตรีตำบลหลักช้าง</t>
  </si>
  <si>
    <t xml:space="preserve">      ปลัดเทศบาลตำบลหลักช้าง</t>
  </si>
  <si>
    <t>ลงชื่อ ................................................</t>
  </si>
  <si>
    <t>ลงชื่อ ..............................................</t>
  </si>
  <si>
    <t>ลงชื่อ ....................................................</t>
  </si>
  <si>
    <t xml:space="preserve">      (นายชินวรณ์  วิเชียร)</t>
  </si>
  <si>
    <t xml:space="preserve">     (นางวาสนา   รักษาแก้ว)</t>
  </si>
  <si>
    <t xml:space="preserve">       ผู้อำนวยการกองคลัง</t>
  </si>
  <si>
    <t>งบแสดงผลการดำเนินงานจ่ายจากเงินรายรับและเงินสะสม</t>
  </si>
  <si>
    <t xml:space="preserve">เทศบาลตำบลหลักช้าง ตั้งอยู่เลขที่ 285 หมู่ที่ 5 ตำบลหลักช้าง อำเภอช้างกลาง จังหวัดนครศรีธรรมราช </t>
  </si>
  <si>
    <t xml:space="preserve">มีพื้นที่ 47 ตารางกิโลเมตร ประชากรทั้งหมด 7,715 คน เป็นชาย 3,802 คน เป็นหญิง 3,913 คน </t>
  </si>
  <si>
    <t xml:space="preserve">ผู้บริหาร ได้รับการเลือกตั้งวันที่ 2 ธันวาคม 2555 หมดวาระวันที่ 1 ธันวาคม 2559  ฝ่ายการเมือง 15 คน </t>
  </si>
  <si>
    <t xml:space="preserve">ประกอบด้วย นายกและรองนายก 3 คน  เลขานุการและที่ปรึกษา 2 คน  สมาชิกสภาอปท. 10 คน  </t>
  </si>
  <si>
    <t>ฝ่ายประจำ 40 คน ประกอบด้วย ข้าราชการส่วนท้องถิ่น 13 คน  ลูกจ้างประจำ 2 คน  พนักงานจ้าง 19 คน</t>
  </si>
  <si>
    <t xml:space="preserve">ข้าราชการครู(อุดหนุนระบุวัตถุประสงค์) 4 คน  พนักงานจ้าง(อุดหนุนระบุวัตถุประสงค์) 2 คน  </t>
  </si>
  <si>
    <t>ทะเบียนทรัพย์สินของเทศบาลตำบลหลักช้าง  ประจำปี  2558</t>
  </si>
  <si>
    <t>ลำดับที่</t>
  </si>
  <si>
    <t>ได้มา วดป.</t>
  </si>
  <si>
    <t>วงเงิน</t>
  </si>
  <si>
    <t>จำนวน</t>
  </si>
  <si>
    <t>หน่วยงาน</t>
  </si>
  <si>
    <t>วิธีการได้มา</t>
  </si>
  <si>
    <t>หมายเลขทะเบียน</t>
  </si>
  <si>
    <t>อสังหาริมทรัพย์</t>
  </si>
  <si>
    <t>ที่ดิน</t>
  </si>
  <si>
    <t>ที่ดิน หลักฐาน น.ส.3</t>
  </si>
  <si>
    <t>สำนักปลัดฯ</t>
  </si>
  <si>
    <t>สอบราคา</t>
  </si>
  <si>
    <t>002-43-0001</t>
  </si>
  <si>
    <t xml:space="preserve">อาคาร สำนักงาน </t>
  </si>
  <si>
    <t>อาคารที่ทำการ อบต.</t>
  </si>
  <si>
    <t>005-42-0001</t>
  </si>
  <si>
    <t>อาคารศูนย์พัฒนาเด็กเล็ก</t>
  </si>
  <si>
    <t xml:space="preserve">อาคารศูนย์พัฒนาเด็กเล็ก  </t>
  </si>
  <si>
    <t>ส่วนโยธา</t>
  </si>
  <si>
    <t>009-45-0001</t>
  </si>
  <si>
    <t xml:space="preserve">อาคารศูนย์พัฒนาเด็กเล็ก 2  </t>
  </si>
  <si>
    <t>009-51-0002</t>
  </si>
  <si>
    <t xml:space="preserve">อาคารศูนย์พัฒนาเด็กเล็ก </t>
  </si>
  <si>
    <t>สำนักปลัด</t>
  </si>
  <si>
    <t>009-58-0003</t>
  </si>
  <si>
    <t>อาคารศูนย์ อปพร</t>
  </si>
  <si>
    <t>อาคารศูนย์ อปพร. ม.5</t>
  </si>
  <si>
    <t>010-52-0001</t>
  </si>
  <si>
    <t>ระบบประปา</t>
  </si>
  <si>
    <t>อาคารโรงกรองน้ำ ม.7</t>
  </si>
  <si>
    <t>101-46-0001</t>
  </si>
  <si>
    <t>อาคารโรงจ่ายสารเคมี ม.7</t>
  </si>
  <si>
    <t>110-46-0001</t>
  </si>
  <si>
    <t>หอถังสูงประปา ม.7</t>
  </si>
  <si>
    <t>104-46-0001</t>
  </si>
  <si>
    <t>หอถังสูงประปา ม.2</t>
  </si>
  <si>
    <t>104-55-0002</t>
  </si>
  <si>
    <t>ลานเอนกประสงค์</t>
  </si>
  <si>
    <t>อาคารห้องน้ำห้องส้วมสาธารณะ  ม.5</t>
  </si>
  <si>
    <t>10 พ.ค 48</t>
  </si>
  <si>
    <t>187-48-0001</t>
  </si>
  <si>
    <t>ลานเอนกประสงค์ศูนย์ ม.5</t>
  </si>
  <si>
    <t>285-51-0001</t>
  </si>
  <si>
    <t>ทรัพย์สินอื่น</t>
  </si>
  <si>
    <t>รั้วศูนย์พัฒนาเด็กเล็ก  ม.5</t>
  </si>
  <si>
    <t>277-51-0001</t>
  </si>
  <si>
    <t>เสาธง</t>
  </si>
  <si>
    <t>ตกลงราคา</t>
  </si>
  <si>
    <t>270-43-0001</t>
  </si>
  <si>
    <t>รวมอสังหาริมทรัพย์</t>
  </si>
  <si>
    <t>สังหาริมทรัพย์</t>
  </si>
  <si>
    <t>ครุภัณฑ์สำนักงาน</t>
  </si>
  <si>
    <t>โต๊ะ (7-9)</t>
  </si>
  <si>
    <t>400 39 0001</t>
  </si>
  <si>
    <t>โต๊ะ(3-6)</t>
  </si>
  <si>
    <t>400 39 0003-0004</t>
  </si>
  <si>
    <t>โต๊ะประชุม</t>
  </si>
  <si>
    <t>400 39 0006-0016</t>
  </si>
  <si>
    <t>โต๊ะทำงานระดับ (7-9)</t>
  </si>
  <si>
    <t>400 40 0017-0019</t>
  </si>
  <si>
    <t>โต๊ะทำงานระดับ(3-6)</t>
  </si>
  <si>
    <t>400 41 0124-0127</t>
  </si>
  <si>
    <t>โต๊ะวางเครื่องคอมพิวเตอร์</t>
  </si>
  <si>
    <t>400 43 0129</t>
  </si>
  <si>
    <t>โต๊ะศูนย์เด็กเล็ก</t>
  </si>
  <si>
    <t>400 45 0130-,132,134,138,139,140</t>
  </si>
  <si>
    <t>โต๊ะคอมพิวเตอร์</t>
  </si>
  <si>
    <t>ส่วนการคลัง</t>
  </si>
  <si>
    <t>400 48 0143</t>
  </si>
  <si>
    <t>400 48 0144</t>
  </si>
  <si>
    <t>โต๊ะทำงาน(สีน้ำตาล)</t>
  </si>
  <si>
    <t>400 48 0145-0149</t>
  </si>
  <si>
    <t>โต๊ะวางเครื่องคอมฯ</t>
  </si>
  <si>
    <t>400 48 0150</t>
  </si>
  <si>
    <t xml:space="preserve"> ตกลงราคา</t>
  </si>
  <si>
    <t>400  48 0151</t>
  </si>
  <si>
    <t>โต๊ะทำงานระดับ (1-2 )</t>
  </si>
  <si>
    <t>400  50 0152-0156</t>
  </si>
  <si>
    <t>400  51  0157</t>
  </si>
  <si>
    <t>400   51  0158</t>
  </si>
  <si>
    <t>โต๊ะสำหรับเด็กเล็ก</t>
  </si>
  <si>
    <t>400  52  0159-0162</t>
  </si>
  <si>
    <t>โต๊ะนั่งทำงานระดับ (1-2)</t>
  </si>
  <si>
    <t>บริจาค</t>
  </si>
  <si>
    <t>400  52  0163-0164</t>
  </si>
  <si>
    <t>400  52  0165</t>
  </si>
  <si>
    <t>โต๊ะนั่งทำงานระดับ (7-9)</t>
  </si>
  <si>
    <t>400  52  0166</t>
  </si>
  <si>
    <t>สำนักปลัด,ส่วนการคลัง</t>
  </si>
  <si>
    <t>400 54   0167-168</t>
  </si>
  <si>
    <t>400 54 0169</t>
  </si>
  <si>
    <t>400 55 0170</t>
  </si>
  <si>
    <t>คลัง</t>
  </si>
  <si>
    <t>400 56 0171</t>
  </si>
  <si>
    <t>โต๊ะทำงานผู้บริหาร</t>
  </si>
  <si>
    <t>400 56 0172</t>
  </si>
  <si>
    <t>โต๊ะประชุมสำหรับประธานสภา</t>
  </si>
  <si>
    <t>400 57 0173</t>
  </si>
  <si>
    <t>400 57 0174-185</t>
  </si>
  <si>
    <t>โต๊ะอนุบาลหน้าขาว</t>
  </si>
  <si>
    <t>ศพด.</t>
  </si>
  <si>
    <t>400 57 0186-193</t>
  </si>
  <si>
    <t>400-58-0194</t>
  </si>
  <si>
    <t>400-58-0195</t>
  </si>
  <si>
    <t>400-58-0196</t>
  </si>
  <si>
    <t>เก้าอี้(3-6)</t>
  </si>
  <si>
    <t>401 39 0004</t>
  </si>
  <si>
    <t>เก้าอี้ประชุม</t>
  </si>
  <si>
    <t>401 39 0007,1013,15,16,22,24</t>
  </si>
  <si>
    <t>เก้าอี้ระดับ (3-6)</t>
  </si>
  <si>
    <t>401 41 1046-47</t>
  </si>
  <si>
    <t>เก้าอี้ศูนย์เด็กเล็ก</t>
  </si>
  <si>
    <t>401 45 1050-1058,1062-1129</t>
  </si>
  <si>
    <t>เก้าอี้ระดับ 7-9</t>
  </si>
  <si>
    <t>401 45 1131-1132</t>
  </si>
  <si>
    <t>เก้าอี้คอมฯ</t>
  </si>
  <si>
    <t>401 46 1133</t>
  </si>
  <si>
    <t>เก้าอี้ระดับ 3-6</t>
  </si>
  <si>
    <t>401 48 1139</t>
  </si>
  <si>
    <t>เก้าอี้เจ้าหน้าที่</t>
  </si>
  <si>
    <t>2 ส.ค48</t>
  </si>
  <si>
    <t>401 48 1141</t>
  </si>
  <si>
    <t>401 51 1144</t>
  </si>
  <si>
    <t>เก้าอี้สำหรับเด็กเล็ก</t>
  </si>
  <si>
    <t>401 52 1145-1168</t>
  </si>
  <si>
    <t>เก้าอี้นั่งทำงาน</t>
  </si>
  <si>
    <t>401 52 1169-1171</t>
  </si>
  <si>
    <t>401 52 1175</t>
  </si>
  <si>
    <t>401 55 1177</t>
  </si>
  <si>
    <t>401 56 1178-80</t>
  </si>
  <si>
    <t>เก้าอี้ผู้บริหาร</t>
  </si>
  <si>
    <t>401 56 1181</t>
  </si>
  <si>
    <t>401 56 1182-87</t>
  </si>
  <si>
    <t>เก้าอี้ประธานสภา</t>
  </si>
  <si>
    <t>401 57 1188</t>
  </si>
  <si>
    <t>เก้าอี้ห้องประชุม</t>
  </si>
  <si>
    <t>4013 57 1189-1212</t>
  </si>
  <si>
    <t>ตู้ 15 ลิ้นชัก</t>
  </si>
  <si>
    <t>406 39 0002</t>
  </si>
  <si>
    <t>ตู้เก็บเอกสาร 4 ลิ้นชัก</t>
  </si>
  <si>
    <t>ปลัด /ช่าง</t>
  </si>
  <si>
    <t>406 40 0003-0005</t>
  </si>
  <si>
    <t>ตู้เหล็ก 2 บาน</t>
  </si>
  <si>
    <t>406 40 0006-0008</t>
  </si>
  <si>
    <t>ตู้เหล็ก 15 ลิ้นชัก</t>
  </si>
  <si>
    <t>406 41 0009-0010</t>
  </si>
  <si>
    <t>ตู้เก็บแฟ้มแบบฟอร์ม(15ลิ้นชัก)</t>
  </si>
  <si>
    <t>406 43 0011</t>
  </si>
  <si>
    <t>406 43 0012</t>
  </si>
  <si>
    <t>ตู้เหล็ก 4 ลิ้นชัก</t>
  </si>
  <si>
    <t>ส่วนคลัง</t>
  </si>
  <si>
    <t>406 45 0015</t>
  </si>
  <si>
    <t>ตู้เหล็ก 2 บาน(มอก.)</t>
  </si>
  <si>
    <t>406 45 0016</t>
  </si>
  <si>
    <t>ตู้เหล็กเก็บเอกสาร 4 ลิ้นชัก</t>
  </si>
  <si>
    <t>406 47 0017-0018</t>
  </si>
  <si>
    <t>ตู้เก็บเอกสาร(ตู้ไม้)</t>
  </si>
  <si>
    <t>406 48 0020-0022</t>
  </si>
  <si>
    <t xml:space="preserve">ตู้เก็บเอกสาร  9 ช่อง </t>
  </si>
  <si>
    <t>406 49 0023</t>
  </si>
  <si>
    <t>ตู้เหล็กเก็บเอกสารบานเลื่อนกระจก</t>
  </si>
  <si>
    <t>406 49 0024</t>
  </si>
  <si>
    <t>ตู้เหล็กเก็บเอกสารบานเลื่อน (ทึบ)</t>
  </si>
  <si>
    <t>406 49 0025</t>
  </si>
  <si>
    <t>ตู้เก็บเอกสาร 5 ฟุต</t>
  </si>
  <si>
    <t>406 50  0026-0027</t>
  </si>
  <si>
    <t>ตู้เก็บสื่อการเรียนการสอน</t>
  </si>
  <si>
    <t>406 52  0028</t>
  </si>
  <si>
    <t>406 54 0029</t>
  </si>
  <si>
    <t>406 54 0030</t>
  </si>
  <si>
    <t>406 54 0031</t>
  </si>
  <si>
    <t>406 55 0032</t>
  </si>
  <si>
    <t>406 55 0033</t>
  </si>
  <si>
    <t>ชั้นเหล็กเก็บเอกสาร4ชั้นๆละ10 ช่อง</t>
  </si>
  <si>
    <t>406 55 0034</t>
  </si>
  <si>
    <t>ปลัด</t>
  </si>
  <si>
    <t>406 55 0035-6</t>
  </si>
  <si>
    <t>ตู้เหล็กบานเลื่อน กระจก</t>
  </si>
  <si>
    <t>406 55 0037</t>
  </si>
  <si>
    <t>ตู้เหล็กเอกสารรางเลื่อนชนิด 6 ตู้</t>
  </si>
  <si>
    <t>406 55 0038</t>
  </si>
  <si>
    <t>406 55 0039</t>
  </si>
  <si>
    <t>406 56 0040-42</t>
  </si>
  <si>
    <t>ชั้นไม้บาติเกิ้ล 12 ช่อง</t>
  </si>
  <si>
    <t>ศพด</t>
  </si>
  <si>
    <t>406 56 0043-48</t>
  </si>
  <si>
    <t>ตู้เอกสารทรงสูงบานเปิด 2 ชั้น</t>
  </si>
  <si>
    <t>406 57 0049</t>
  </si>
  <si>
    <t>ช่าง</t>
  </si>
  <si>
    <t>407 58 0050-52</t>
  </si>
  <si>
    <t>ตู้ล้อคเกอร์ 6 ประตู</t>
  </si>
  <si>
    <t>408 58 0053</t>
  </si>
  <si>
    <t>เครื่องพิมพ์ดีด</t>
  </si>
  <si>
    <t>414 40 0002</t>
  </si>
  <si>
    <t>ชุดเครื่องเขียน</t>
  </si>
  <si>
    <t>480 48 0001</t>
  </si>
  <si>
    <t>ประตูเหล็กที่ทำการอบต.</t>
  </si>
  <si>
    <t>283 40 0001</t>
  </si>
  <si>
    <t>เครื่องถ่ายเอกสาร</t>
  </si>
  <si>
    <t>417 49 0002</t>
  </si>
  <si>
    <t>เครื่องปรับอากาศ</t>
  </si>
  <si>
    <t>420 43 0001-0002</t>
  </si>
  <si>
    <t>420 44 0004</t>
  </si>
  <si>
    <t>420 47 0006-0007</t>
  </si>
  <si>
    <t>เครื่องปรับอากาศขนาด 13097.3 BTU</t>
  </si>
  <si>
    <t>420-57-0008-13</t>
  </si>
  <si>
    <t>เครื่องปรับอากาศขนาด 50000 BTU</t>
  </si>
  <si>
    <t>420-57-0014-16</t>
  </si>
  <si>
    <t>เครื่องปรับอากาศขนาด 30092.13 BTU</t>
  </si>
  <si>
    <t>420-57-0017-20</t>
  </si>
  <si>
    <t>พัดลมติดพนัง</t>
  </si>
  <si>
    <t>432 48 0006</t>
  </si>
  <si>
    <t>บอร์ดปิดประกาศ</t>
  </si>
  <si>
    <t>081 41 0015-0016</t>
  </si>
  <si>
    <t>ตู้นิรภัย</t>
  </si>
  <si>
    <t>412 39 0001</t>
  </si>
  <si>
    <t>โต๊ะหมู่บูชา</t>
  </si>
  <si>
    <t>600 42 0001</t>
  </si>
  <si>
    <t>ชั้นวางเอกสาร 2 ชั้น 10 ช่อง</t>
  </si>
  <si>
    <t>404 50 0002</t>
  </si>
  <si>
    <t>ชั้นวางเอกสาร 4 ชั้น 10 ช่อง</t>
  </si>
  <si>
    <t>404 52 0003</t>
  </si>
  <si>
    <t>เครื่องปริ้นเตอร์</t>
  </si>
  <si>
    <t>481 48 0004</t>
  </si>
  <si>
    <t>ปลัด,คลัง</t>
  </si>
  <si>
    <t>481 51 0007</t>
  </si>
  <si>
    <t>เครื่องปริ้นเตอร์ (สี)</t>
  </si>
  <si>
    <t>481 51 0009</t>
  </si>
  <si>
    <t xml:space="preserve">เครื่องปริ้นเตอร์ </t>
  </si>
  <si>
    <t>481 52 0010</t>
  </si>
  <si>
    <t>เครื่องปริ้นเตอร์ (ติดแท้งค์)</t>
  </si>
  <si>
    <t>481 54 0011</t>
  </si>
  <si>
    <t>481 55 0012</t>
  </si>
  <si>
    <t>481 55 0013</t>
  </si>
  <si>
    <t>481 55 0014</t>
  </si>
  <si>
    <t>เครื่องปริ้นเตอร์เลเซอร์</t>
  </si>
  <si>
    <t>481 56 0015-16</t>
  </si>
  <si>
    <t>481 56 0017</t>
  </si>
  <si>
    <t>481-57-0018</t>
  </si>
  <si>
    <t>กองช่าง</t>
  </si>
  <si>
    <t>481-58-0019</t>
  </si>
  <si>
    <t>พัดลมโคจร 16 นิ้ว</t>
  </si>
  <si>
    <t>433 56 0007-12</t>
  </si>
  <si>
    <t>วิทยุรับ-ส่ง</t>
  </si>
  <si>
    <t>464-57-0001</t>
  </si>
  <si>
    <t>วิทยุสื่อสาร</t>
  </si>
  <si>
    <t>464-57-0002-10</t>
  </si>
  <si>
    <t>เครื่องคอมพิวเตอร์</t>
  </si>
  <si>
    <t>416 46 0002</t>
  </si>
  <si>
    <t>416 48 0003</t>
  </si>
  <si>
    <t>416 48 0004</t>
  </si>
  <si>
    <t>416 48 0005</t>
  </si>
  <si>
    <t>416  51 0007-0008</t>
  </si>
  <si>
    <t>เครื่องคอมพิวเตอร์ (โน้ตบุ๊ค)</t>
  </si>
  <si>
    <t>ปลัด,คลัง,โยธา</t>
  </si>
  <si>
    <t>416 51 0009-0011</t>
  </si>
  <si>
    <t>416 54 0012</t>
  </si>
  <si>
    <t>416 54 0013</t>
  </si>
  <si>
    <t>416 54 0014</t>
  </si>
  <si>
    <t>416 54 0015</t>
  </si>
  <si>
    <t>416 54 0016</t>
  </si>
  <si>
    <t>416 55 0017</t>
  </si>
  <si>
    <t>416 55 0018</t>
  </si>
  <si>
    <t>416 55 0019</t>
  </si>
  <si>
    <t>416 55 0020</t>
  </si>
  <si>
    <t>416 55 0021</t>
  </si>
  <si>
    <t>416 56 0022-23</t>
  </si>
  <si>
    <t>416 56 0024</t>
  </si>
  <si>
    <t>416 56 0025</t>
  </si>
  <si>
    <t>จอคอมพิวเตอร์</t>
  </si>
  <si>
    <t>โยธา</t>
  </si>
  <si>
    <t>484 56 0001</t>
  </si>
  <si>
    <t>เครื่องสำรองไฟ</t>
  </si>
  <si>
    <t>483 55 0001</t>
  </si>
  <si>
    <t>ปลัด/คลัง</t>
  </si>
  <si>
    <t>484 56 0002-3</t>
  </si>
  <si>
    <t>485 58 0004</t>
  </si>
  <si>
    <t xml:space="preserve"> </t>
  </si>
  <si>
    <t>จอรับภาพ</t>
  </si>
  <si>
    <t>490 43 0001</t>
  </si>
  <si>
    <t>เครื่องฉายภาพทึบแสง</t>
  </si>
  <si>
    <t xml:space="preserve">448 43 0001 </t>
  </si>
  <si>
    <t>กล้องถ่ายรูปดิจิตอลพานาโซนิค</t>
  </si>
  <si>
    <t>452 54 0004</t>
  </si>
  <si>
    <t>กล้องถ่ายรูปดิจิตอลโซนี่</t>
  </si>
  <si>
    <t>452 55 0005</t>
  </si>
  <si>
    <t>กล้องวีดีโอ</t>
  </si>
  <si>
    <t>454 55 0001</t>
  </si>
  <si>
    <t>เครื่องเพาเวอร์แอมป์</t>
  </si>
  <si>
    <t>462-57-0003</t>
  </si>
  <si>
    <t>ไมค์ตั้งโต๊ะตัวแม่</t>
  </si>
  <si>
    <t>458-57-0013</t>
  </si>
  <si>
    <t>ไมค์ตั้งโต๊ะตัวลูก</t>
  </si>
  <si>
    <t>458-57-0014-31</t>
  </si>
  <si>
    <t>490-57-0002</t>
  </si>
  <si>
    <t>เครื่องมัลติมีเดีย</t>
  </si>
  <si>
    <t>447-57-0001</t>
  </si>
  <si>
    <t>กล้องวงจรปิด</t>
  </si>
  <si>
    <t>455-57-001-20</t>
  </si>
  <si>
    <t>455-58-0022-33</t>
  </si>
  <si>
    <t>ครุภัณฑ์ไฟฟ้าและวิทยุ</t>
  </si>
  <si>
    <t>456 40 0001</t>
  </si>
  <si>
    <t>โทรทัศน์สี</t>
  </si>
  <si>
    <t>456 48 0002</t>
  </si>
  <si>
    <t>457 57 0003</t>
  </si>
  <si>
    <t>โทรทัศน์สี LED 32 นิ้ว</t>
  </si>
  <si>
    <t>478 46 0001</t>
  </si>
  <si>
    <t xml:space="preserve">เครื่องควบคุมเสียง </t>
  </si>
  <si>
    <t>462  46 0002</t>
  </si>
  <si>
    <t>เครื่องขยายเสียงแบบเดี่ยว</t>
  </si>
  <si>
    <t>457 46 0002</t>
  </si>
  <si>
    <t>ขาไมโครโฟนตั้งพื้น</t>
  </si>
  <si>
    <t>088 41 0001</t>
  </si>
  <si>
    <t>เครื่องมิเตอร์ไฟฟ้า (15 แอมป์)</t>
  </si>
  <si>
    <t>459 46 0005-0006</t>
  </si>
  <si>
    <t>ลำโพงฝาผนัง 8 นิ้ว</t>
  </si>
  <si>
    <t>458 40 0001-0002</t>
  </si>
  <si>
    <t>ไมโครโฟนสาย</t>
  </si>
  <si>
    <t>458 46 0005-0011</t>
  </si>
  <si>
    <t>ไมค์ห้องประชุม(ตั้งโต๊ะ)</t>
  </si>
  <si>
    <t>ครุภัณฑ์ก่อสร้าง</t>
  </si>
  <si>
    <t>059 56 0001</t>
  </si>
  <si>
    <t>เครื่องเจาะสว่านไฟฟ้า</t>
  </si>
  <si>
    <t>เครื่องตบดิน</t>
  </si>
  <si>
    <t>092-58-0001</t>
  </si>
  <si>
    <t>ครุภัณฑ์โรงงาน</t>
  </si>
  <si>
    <t>เครื่องเจียร์/ตัด</t>
  </si>
  <si>
    <t>091-58-0001</t>
  </si>
  <si>
    <t>ครุภัณฑ์การเกษตร</t>
  </si>
  <si>
    <t>054 43 0001</t>
  </si>
  <si>
    <t>เครื่องพ่นหมอกควัน</t>
  </si>
  <si>
    <t>054 51 0002</t>
  </si>
  <si>
    <t>เครื่องพ่นหมอกควัน พกพา</t>
  </si>
  <si>
    <t>054-57-0003-4</t>
  </si>
  <si>
    <t>เครื่องปั๊มน้ำ</t>
  </si>
  <si>
    <t>055 55 0006</t>
  </si>
  <si>
    <t>055 55 0008</t>
  </si>
  <si>
    <t>เครื่องสูบน้ำ แบบจุ่ม  2 HP</t>
  </si>
  <si>
    <t>055-57-0009-10</t>
  </si>
  <si>
    <t>เครื่องตัดหญ้า</t>
  </si>
  <si>
    <t>442 45 0001</t>
  </si>
  <si>
    <t>เครื่องสูบน้ำ แบบจุ่ม  1.5 HP</t>
  </si>
  <si>
    <t>055-58-0011-12</t>
  </si>
  <si>
    <t>เครื่องสูบน้ำแบบหอยโข่ง</t>
  </si>
  <si>
    <t>055-58-0013-17</t>
  </si>
  <si>
    <t>090 56 0003-5</t>
  </si>
  <si>
    <t>เครื่องจ่ายสารเคมี 10 ลิตร</t>
  </si>
  <si>
    <t>090 56 006-8</t>
  </si>
  <si>
    <t>เครื่องจ่ายสารเคมี 15 ลิตร</t>
  </si>
  <si>
    <t>ครุภัณฑ์งานบ้านงานครัว</t>
  </si>
  <si>
    <t>701 45 0001</t>
  </si>
  <si>
    <t>เครื่องกรองน้ำ</t>
  </si>
  <si>
    <t>713 52 0001</t>
  </si>
  <si>
    <t>หม้อต้มน้ำไฟฟ้า</t>
  </si>
  <si>
    <t>712 47 0001</t>
  </si>
  <si>
    <t>ตู้ยา 12 ชั้น</t>
  </si>
  <si>
    <t>703-57-0002</t>
  </si>
  <si>
    <t>ตู้เย็น 5.5 คิว</t>
  </si>
  <si>
    <t>439 48 0003</t>
  </si>
  <si>
    <t>เครื่องทำความเย็น</t>
  </si>
  <si>
    <t>439 54 0004</t>
  </si>
  <si>
    <t>480 43 0001-0002</t>
  </si>
  <si>
    <t>โต๊ะเขียนแบบเสื้อผ้า</t>
  </si>
  <si>
    <t>437 48 0002-0010</t>
  </si>
  <si>
    <t>ภาชนะรองรับน้ำ</t>
  </si>
  <si>
    <t>001-57-0001</t>
  </si>
  <si>
    <t>รถยนต์ส่วนกลาง</t>
  </si>
  <si>
    <t>002-57-0001</t>
  </si>
  <si>
    <t>รถดับเพลิง</t>
  </si>
  <si>
    <t>ประกวด</t>
  </si>
  <si>
    <t>009 48 0002</t>
  </si>
  <si>
    <t>รถจักรยานยนต์(ฮอนด้า เวฟ)</t>
  </si>
  <si>
    <t>011 40 0001</t>
  </si>
  <si>
    <t>รถบรรทุก(6 ล้อ)</t>
  </si>
  <si>
    <t>003 48 0001</t>
  </si>
  <si>
    <t>รถบรรทุกน้ำ</t>
  </si>
  <si>
    <t>009 53 0003</t>
  </si>
  <si>
    <t>รถจักรยานยนต์ เวฟ</t>
  </si>
  <si>
    <t>005 56 0001</t>
  </si>
  <si>
    <t>รถบรรทุกขยะ 10 ตัน</t>
  </si>
  <si>
    <t>078 46 0001</t>
  </si>
  <si>
    <t>กล้องระดับ</t>
  </si>
  <si>
    <t>087 51 0001</t>
  </si>
  <si>
    <t>ล้อวัดระยะดิจิตอล</t>
  </si>
  <si>
    <t>077 45 0001</t>
  </si>
  <si>
    <t>เทปวัดระยะ</t>
  </si>
  <si>
    <t>051 46 0001</t>
  </si>
  <si>
    <t xml:space="preserve">ไม้สต๊าฟ </t>
  </si>
  <si>
    <t>088 46 0001</t>
  </si>
  <si>
    <t>ขากล้องระดับ</t>
  </si>
  <si>
    <t>089-55-0001</t>
  </si>
  <si>
    <t>เครื่องนำทางแบบGPSMAP</t>
  </si>
  <si>
    <t xml:space="preserve">        </t>
  </si>
  <si>
    <t>อุปกรณ์เด็กเล่น</t>
  </si>
  <si>
    <t>470-48-0007</t>
  </si>
  <si>
    <t>เครื่องเล่นสนาม</t>
  </si>
  <si>
    <t>ศึกษา</t>
  </si>
  <si>
    <t>068-57-0001</t>
  </si>
  <si>
    <t>เครื่องเลื่อยโซ่</t>
  </si>
  <si>
    <t>ซุ้มเฉลิมพระเกียรติ</t>
  </si>
  <si>
    <t>411-58-0002</t>
  </si>
  <si>
    <t>รวมสังหาริมทรัพย์</t>
  </si>
  <si>
    <t>รับเพิ่ม</t>
  </si>
  <si>
    <t>ครุภัณฑ์ยานพาหนะและขนส่ง</t>
  </si>
  <si>
    <t xml:space="preserve"> ครุภัณฑ์โมษณาและเผยแพร่</t>
  </si>
  <si>
    <t>ครุภัณฑ์สำรวจ</t>
  </si>
  <si>
    <t>ครุภัณฑ์อื่น ๆ</t>
  </si>
  <si>
    <t>ครุภัณฑ์วิทยาศาสตร์หรือการแพทย์</t>
  </si>
  <si>
    <t>4. ครุภัณฑ์ก่อสร้าง</t>
  </si>
  <si>
    <t>5. ครุภัณฑ์ไฟฟ้าและวิทยุ</t>
  </si>
  <si>
    <t>6. ครุภัณฑ์โฆษณาและเผยแพร่</t>
  </si>
  <si>
    <t>7. ครุภัณฑ์วิทยาศาสตร์หรือการแพทย์</t>
  </si>
  <si>
    <t>8. ครุภัณฑ์งานบ้านงานครัว</t>
  </si>
  <si>
    <t>10. ครุภัณฑ์สำรวจ</t>
  </si>
  <si>
    <t>11. ครุภัณฑ์คอมพิวเตอร์</t>
  </si>
  <si>
    <t xml:space="preserve">       ผู้อำนวยการกองคลัง                   ปลัดเทศบาลตำบลหลักช้าง             นายกเทศมนตรีตำบลหลักช้าง</t>
  </si>
  <si>
    <t>(ลงชื่อ)......................................         (ลงชื่อ)......................................         (ลงชื่อ).............................................</t>
  </si>
  <si>
    <t xml:space="preserve">      (นางวาสนา  รักษาแก้ว)                 (นายสุนทร  เสถียรขจรกุล)                (นายชินวรณ์   วิเชียร)</t>
  </si>
  <si>
    <t>มีผู้อุทิศให้</t>
  </si>
  <si>
    <t xml:space="preserve">เงินอุดหนุนเฉพาะกิจ </t>
  </si>
  <si>
    <t>รายละเอียดเงินประกันสัญญา</t>
  </si>
  <si>
    <t>ณ วันที่  30  กันยายน  2558</t>
  </si>
  <si>
    <t>ห้างร้าน</t>
  </si>
  <si>
    <t>ชื่อโครงการ</t>
  </si>
  <si>
    <t>วันครบ</t>
  </si>
  <si>
    <t>เงินสด</t>
  </si>
  <si>
    <t>สมคิด ละอองทอง</t>
  </si>
  <si>
    <t>ซ่อมถนน ม.4</t>
  </si>
  <si>
    <t xml:space="preserve">ซ่อมควนตมหนองเตย </t>
  </si>
  <si>
    <t>ของปี 56</t>
  </si>
  <si>
    <t>ซ่อมหนองโมกขัน ม.2-9</t>
  </si>
  <si>
    <t>ซ่อมสายพ่อหมุน ม.1/2</t>
  </si>
  <si>
    <t>ซ่อมควนบ่อเรียน ม.2</t>
  </si>
  <si>
    <t xml:space="preserve">ซ่อมโคกสะท้อน </t>
  </si>
  <si>
    <t>หจก.ทองคำมณีฯ</t>
  </si>
  <si>
    <t>ซ่อมข้างสนามกีฬา</t>
  </si>
  <si>
    <t>ซ่อมบ้านนาใหม่</t>
  </si>
  <si>
    <t>ซ่อมบ้านยางยวน</t>
  </si>
  <si>
    <t>ซ่อมประชาอุทิศ</t>
  </si>
  <si>
    <t>หจก.ก้าวรุ่งเจริญ</t>
  </si>
  <si>
    <t>ซุ้ม</t>
  </si>
  <si>
    <t>หจก.ภูอนันต์</t>
  </si>
  <si>
    <t>คอนกรีตข้างวัดจันดี</t>
  </si>
  <si>
    <t>หจก.ทรัพย์สมหมาย</t>
  </si>
  <si>
    <t>ท่อนาหรำ</t>
  </si>
  <si>
    <t>หจก.ดาวพิปูน</t>
  </si>
  <si>
    <t>ท่อวังชุม</t>
  </si>
  <si>
    <t>ของปี 57</t>
  </si>
  <si>
    <t>บจก.บี เบรน คอมพิวเตอร์</t>
  </si>
  <si>
    <t>หจก.พรเทพเอ็นจิเนียริ่ง</t>
  </si>
  <si>
    <t>เครื่องปรับอากาศ ศพด.</t>
  </si>
  <si>
    <t>บจก.อาร์ เอส ที ออโตเมชั่น</t>
  </si>
  <si>
    <t>เครื่องรับ - ส่งวิทยุ</t>
  </si>
  <si>
    <t>นายทศพล  จงจิต</t>
  </si>
  <si>
    <t>ซ่อมคูระบายน้ำ หูนบ</t>
  </si>
  <si>
    <t>11 มี.ค..58</t>
  </si>
  <si>
    <t>คณะบุคคลโภคากร</t>
  </si>
  <si>
    <t>ถังขยะ</t>
  </si>
  <si>
    <t xml:space="preserve">หจก. เอ็นซีเอ็น คอนสตรัคชั่น </t>
  </si>
  <si>
    <t>ก่อสร้างศพด.</t>
  </si>
  <si>
    <t>นางนุชนารถ  รัตนบุรี</t>
  </si>
  <si>
    <t>อาหารกลางวัน 1/58</t>
  </si>
  <si>
    <t>อาหารกลางวัน 1/59</t>
  </si>
  <si>
    <t>ร้านเฉลิมกิจการไฟฟ้า</t>
  </si>
  <si>
    <t>ปั้มสูบน้ำ</t>
  </si>
  <si>
    <t>อู่เอสพี</t>
  </si>
  <si>
    <t>ซ่อมรถ</t>
  </si>
  <si>
    <t>ซ่อมบนควน-หลักช้าง</t>
  </si>
  <si>
    <t>ซ่อมประชาอุทิศ ม.8</t>
  </si>
  <si>
    <t>ซ่อมวังชุม 1 ช่วงม.6</t>
  </si>
  <si>
    <t>ซ่อมหูนบ</t>
  </si>
  <si>
    <t>ซ่อมซอยวาสนา ม.4</t>
  </si>
  <si>
    <t>โภคากร</t>
  </si>
  <si>
    <t>รวมเงินทั้งสิ้น</t>
  </si>
  <si>
    <t>รายละเอียดเงินรอคืนจังหวัด</t>
  </si>
  <si>
    <t>เงินอุดหนุนทั่วไประบุวัตถุประสงค์เบี้ยยังชีพผู้สูงอายุ</t>
  </si>
  <si>
    <t>เงินอุดหนุนทั่วไประบุวัตถุประสงค์เบี้ยยังชีพผู้พิการ</t>
  </si>
  <si>
    <t>เงินอุดหนุนทั่วไประบุวัตถุประสงค์เงินเดือนครูศพด.</t>
  </si>
  <si>
    <t>เงินอุดหนุนทั่วไประบุวัตถุประสงค์ค่าจ้างชั่วคราวครูศพด.</t>
  </si>
  <si>
    <t>6. ลานอเนกประสงค์</t>
  </si>
  <si>
    <t>6. คุภัณฑ์โฆษณาและเผยแพร่</t>
  </si>
  <si>
    <t>9 ครุภํณฑ์โรงงาน</t>
  </si>
  <si>
    <t>12. ครุภัณฑ์อื่น ๆ</t>
  </si>
  <si>
    <t>งบทรัพย์สิน</t>
  </si>
  <si>
    <t>จำหน่าย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</si>
</sst>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_-;\-* #,##0.000_-;_-* &quot;-&quot;??_-;_-@_-"/>
    <numFmt numFmtId="203" formatCode="_-* #,##0.0000_-;\-* #,##0.0000_-;_-* &quot;-&quot;??_-;_-@_-"/>
    <numFmt numFmtId="204" formatCode="00"/>
    <numFmt numFmtId="205" formatCode="0\90"/>
    <numFmt numFmtId="206" formatCode="_(* #,##0_);_(* \(#,##0\);_(* &quot;-&quot;??_);_(@_)"/>
    <numFmt numFmtId="207" formatCode="0.00;[Red]0.00"/>
    <numFmt numFmtId="208" formatCode="0\4"/>
    <numFmt numFmtId="209" formatCode="#,##0_ ;\-#,##0\ "/>
    <numFmt numFmtId="210" formatCode="#,##0.00_ ;\-#,##0.00\ "/>
    <numFmt numFmtId="211" formatCode="_(* #,##0.0_);_(* \(#,##0.0\);_(* &quot;-&quot;??_);_(@_)"/>
    <numFmt numFmtId="212" formatCode="0.00_ ;\-0.00\ "/>
    <numFmt numFmtId="213" formatCode="dd\-ดดด\-bbbb"/>
    <numFmt numFmtId="214" formatCode="dd\ ดดด\ bbbb"/>
    <numFmt numFmtId="215" formatCode="dd\ ดดดด\ bbbb"/>
    <numFmt numFmtId="216" formatCode="#,##0.00_);\(#,##0.00\)"/>
    <numFmt numFmtId="217" formatCode="#,##0.000000000"/>
    <numFmt numFmtId="218" formatCode="[$-1010409]#,##0.00;\-#,##0.00"/>
    <numFmt numFmtId="219" formatCode="0.0000000000"/>
    <numFmt numFmtId="220" formatCode="[$-41E]d\ mmmm\ yyyy"/>
    <numFmt numFmtId="221" formatCode="[$-107041E]d\ mmmm\ yyyy;@"/>
    <numFmt numFmtId="222" formatCode="[$-F800]dddd\,\ mmmm\ dd\,\ yyyy"/>
    <numFmt numFmtId="223" formatCode="mmm\-yyyy"/>
    <numFmt numFmtId="224" formatCode="\+\ \ #,##0.00_ ;\-\ \ #,##0.00_ ;* &quot;-&quot;_ \ ;\-\ "/>
    <numFmt numFmtId="225" formatCode="#,##0.000"/>
    <numFmt numFmtId="226" formatCode="#,##0.0000"/>
    <numFmt numFmtId="227" formatCode="#,##0.0"/>
  </numFmts>
  <fonts count="73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u val="single"/>
      <sz val="16"/>
      <name val="TH SarabunPSK"/>
      <family val="2"/>
    </font>
    <font>
      <sz val="8"/>
      <name val="Cordia New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8"/>
      <name val="Arial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.5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u val="single"/>
      <sz val="16"/>
      <name val="TH SarabunPSK"/>
      <family val="2"/>
    </font>
    <font>
      <sz val="16"/>
      <name val="Angsana New"/>
      <family val="1"/>
    </font>
    <font>
      <u val="single"/>
      <sz val="14"/>
      <name val="TH SarabunPSK"/>
      <family val="2"/>
    </font>
    <font>
      <b/>
      <sz val="10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u val="single"/>
      <sz val="14"/>
      <name val="TH SarabunPSK"/>
      <family val="2"/>
    </font>
    <font>
      <b/>
      <sz val="16"/>
      <color indexed="8"/>
      <name val="TH SarabunPSK"/>
      <family val="2"/>
    </font>
    <font>
      <sz val="9"/>
      <name val="TH SarabunPSK"/>
      <family val="2"/>
    </font>
    <font>
      <sz val="16"/>
      <name val="Arial"/>
      <family val="2"/>
    </font>
    <font>
      <sz val="16"/>
      <name val="TH SarabunIT๙"/>
      <family val="2"/>
    </font>
    <font>
      <b/>
      <sz val="16"/>
      <name val="Arial"/>
      <family val="2"/>
    </font>
    <font>
      <sz val="14"/>
      <color indexed="9"/>
      <name val="TH SarabunPSK"/>
      <family val="2"/>
    </font>
    <font>
      <b/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5"/>
      <color indexed="8"/>
      <name val="TH SarabunPSK"/>
      <family val="2"/>
    </font>
    <font>
      <b/>
      <sz val="12"/>
      <color indexed="9"/>
      <name val="TH SarabunPSK"/>
      <family val="2"/>
    </font>
    <font>
      <sz val="16"/>
      <color indexed="30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9"/>
      <name val="TH SarabunPSK"/>
      <family val="2"/>
    </font>
    <font>
      <sz val="15"/>
      <color indexed="9"/>
      <name val="TH SarabunPSK"/>
      <family val="2"/>
    </font>
    <font>
      <sz val="14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u val="single"/>
      <sz val="14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2"/>
      <color theme="0"/>
      <name val="TH SarabunPSK"/>
      <family val="2"/>
    </font>
    <font>
      <sz val="16"/>
      <color rgb="FF0070C0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theme="0"/>
      <name val="TH SarabunPSK"/>
      <family val="2"/>
    </font>
    <font>
      <sz val="15"/>
      <color theme="0"/>
      <name val="TH SarabunPSK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43" fontId="3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>
      <alignment/>
      <protection/>
    </xf>
    <xf numFmtId="0" fontId="3" fillId="10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1" borderId="2" applyNumberFormat="0" applyAlignment="0" applyProtection="0"/>
    <xf numFmtId="0" fontId="8" fillId="0" borderId="3" applyNumberFormat="0" applyFill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0" fillId="7" borderId="1" applyNumberFormat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14" fillId="10" borderId="5" applyNumberFormat="0" applyAlignment="0" applyProtection="0"/>
    <xf numFmtId="0" fontId="0" fillId="4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43" fontId="18" fillId="0" borderId="0" xfId="40" applyFont="1" applyAlignment="1">
      <alignment/>
    </xf>
    <xf numFmtId="43" fontId="19" fillId="0" borderId="0" xfId="40" applyFont="1" applyAlignment="1">
      <alignment horizontal="center"/>
    </xf>
    <xf numFmtId="0" fontId="27" fillId="0" borderId="0" xfId="0" applyFont="1" applyAlignment="1">
      <alignment/>
    </xf>
    <xf numFmtId="0" fontId="27" fillId="0" borderId="10" xfId="0" applyFont="1" applyBorder="1" applyAlignment="1">
      <alignment vertical="center"/>
    </xf>
    <xf numFmtId="0" fontId="19" fillId="0" borderId="0" xfId="0" applyFont="1" applyAlignment="1">
      <alignment horizontal="center"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18" fillId="0" borderId="0" xfId="0" applyFont="1" applyAlignment="1">
      <alignment/>
    </xf>
    <xf numFmtId="43" fontId="19" fillId="0" borderId="0" xfId="40" applyFont="1" applyBorder="1" applyAlignment="1">
      <alignment/>
    </xf>
    <xf numFmtId="4" fontId="18" fillId="0" borderId="0" xfId="0" applyNumberFormat="1" applyFont="1" applyAlignment="1">
      <alignment/>
    </xf>
    <xf numFmtId="43" fontId="25" fillId="0" borderId="0" xfId="40" applyFont="1" applyAlignment="1">
      <alignment/>
    </xf>
    <xf numFmtId="0" fontId="25" fillId="0" borderId="0" xfId="0" applyFont="1" applyAlignment="1">
      <alignment/>
    </xf>
    <xf numFmtId="43" fontId="27" fillId="0" borderId="0" xfId="40" applyFont="1" applyAlignment="1">
      <alignment/>
    </xf>
    <xf numFmtId="43" fontId="25" fillId="0" borderId="0" xfId="40" applyFont="1" applyAlignment="1">
      <alignment vertical="center"/>
    </xf>
    <xf numFmtId="0" fontId="25" fillId="0" borderId="0" xfId="0" applyFont="1" applyAlignment="1">
      <alignment vertical="center"/>
    </xf>
    <xf numFmtId="43" fontId="25" fillId="0" borderId="0" xfId="4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0" fillId="0" borderId="0" xfId="61" applyFont="1">
      <alignment/>
      <protection/>
    </xf>
    <xf numFmtId="0" fontId="19" fillId="0" borderId="11" xfId="58" applyFont="1" applyBorder="1" applyAlignment="1">
      <alignment horizontal="center"/>
      <protection/>
    </xf>
    <xf numFmtId="43" fontId="19" fillId="0" borderId="11" xfId="40" applyFont="1" applyBorder="1" applyAlignment="1" applyProtection="1">
      <alignment horizontal="center"/>
      <protection hidden="1" locked="0"/>
    </xf>
    <xf numFmtId="43" fontId="18" fillId="0" borderId="10" xfId="40" applyFont="1" applyBorder="1" applyAlignment="1">
      <alignment/>
    </xf>
    <xf numFmtId="0" fontId="30" fillId="0" borderId="12" xfId="61" applyFont="1" applyBorder="1">
      <alignment/>
      <protection/>
    </xf>
    <xf numFmtId="0" fontId="28" fillId="0" borderId="13" xfId="58" applyFont="1" applyFill="1" applyBorder="1" applyAlignment="1" quotePrefix="1">
      <alignment horizontal="center"/>
      <protection/>
    </xf>
    <xf numFmtId="0" fontId="28" fillId="0" borderId="14" xfId="58" applyFont="1" applyFill="1" applyBorder="1">
      <alignment/>
      <protection/>
    </xf>
    <xf numFmtId="43" fontId="28" fillId="0" borderId="15" xfId="40" applyFont="1" applyFill="1" applyBorder="1" applyAlignment="1">
      <alignment/>
    </xf>
    <xf numFmtId="0" fontId="28" fillId="0" borderId="16" xfId="58" applyFont="1" applyFill="1" applyBorder="1" applyAlignment="1" quotePrefix="1">
      <alignment horizontal="center"/>
      <protection/>
    </xf>
    <xf numFmtId="0" fontId="28" fillId="0" borderId="17" xfId="58" applyFont="1" applyFill="1" applyBorder="1">
      <alignment/>
      <protection/>
    </xf>
    <xf numFmtId="43" fontId="28" fillId="0" borderId="18" xfId="40" applyFont="1" applyFill="1" applyBorder="1" applyAlignment="1">
      <alignment/>
    </xf>
    <xf numFmtId="0" fontId="28" fillId="0" borderId="14" xfId="58" applyFont="1" applyBorder="1">
      <alignment/>
      <protection/>
    </xf>
    <xf numFmtId="43" fontId="28" fillId="0" borderId="15" xfId="40" applyFont="1" applyBorder="1" applyAlignment="1">
      <alignment/>
    </xf>
    <xf numFmtId="0" fontId="28" fillId="0" borderId="19" xfId="58" applyFont="1" applyBorder="1">
      <alignment/>
      <protection/>
    </xf>
    <xf numFmtId="43" fontId="28" fillId="0" borderId="10" xfId="40" applyFont="1" applyFill="1" applyBorder="1" applyAlignment="1">
      <alignment/>
    </xf>
    <xf numFmtId="43" fontId="31" fillId="0" borderId="11" xfId="40" applyFont="1" applyBorder="1" applyAlignment="1">
      <alignment/>
    </xf>
    <xf numFmtId="43" fontId="31" fillId="0" borderId="11" xfId="40" applyFont="1" applyBorder="1" applyAlignment="1" applyProtection="1">
      <alignment/>
      <protection hidden="1" locked="0"/>
    </xf>
    <xf numFmtId="43" fontId="31" fillId="0" borderId="10" xfId="40" applyFont="1" applyBorder="1" applyAlignment="1">
      <alignment/>
    </xf>
    <xf numFmtId="43" fontId="31" fillId="0" borderId="10" xfId="40" applyFont="1" applyBorder="1" applyAlignment="1" applyProtection="1">
      <alignment/>
      <protection hidden="1" locked="0"/>
    </xf>
    <xf numFmtId="0" fontId="28" fillId="0" borderId="13" xfId="58" applyFont="1" applyBorder="1" applyAlignment="1" quotePrefix="1">
      <alignment horizontal="center"/>
      <protection/>
    </xf>
    <xf numFmtId="0" fontId="28" fillId="0" borderId="16" xfId="58" applyFont="1" applyBorder="1" applyAlignment="1" quotePrefix="1">
      <alignment horizontal="center"/>
      <protection/>
    </xf>
    <xf numFmtId="0" fontId="28" fillId="0" borderId="17" xfId="58" applyFont="1" applyBorder="1">
      <alignment/>
      <protection/>
    </xf>
    <xf numFmtId="43" fontId="28" fillId="0" borderId="18" xfId="40" applyFont="1" applyBorder="1" applyAlignment="1">
      <alignment/>
    </xf>
    <xf numFmtId="0" fontId="28" fillId="0" borderId="17" xfId="58" applyFont="1" applyBorder="1" applyAlignment="1">
      <alignment horizontal="left" vertical="top" wrapText="1"/>
      <protection/>
    </xf>
    <xf numFmtId="0" fontId="28" fillId="0" borderId="17" xfId="0" applyFont="1" applyBorder="1" applyAlignment="1">
      <alignment/>
    </xf>
    <xf numFmtId="0" fontId="28" fillId="0" borderId="19" xfId="58" applyFont="1" applyBorder="1" applyAlignment="1">
      <alignment horizontal="left" vertical="top" wrapText="1"/>
      <protection/>
    </xf>
    <xf numFmtId="43" fontId="28" fillId="0" borderId="10" xfId="40" applyFont="1" applyBorder="1" applyAlignment="1">
      <alignment/>
    </xf>
    <xf numFmtId="43" fontId="28" fillId="0" borderId="18" xfId="40" applyFont="1" applyBorder="1" applyAlignment="1">
      <alignment horizontal="left" vertical="top" wrapText="1"/>
    </xf>
    <xf numFmtId="0" fontId="28" fillId="0" borderId="20" xfId="58" applyFont="1" applyBorder="1" applyAlignment="1" quotePrefix="1">
      <alignment horizontal="center"/>
      <protection/>
    </xf>
    <xf numFmtId="43" fontId="28" fillId="0" borderId="21" xfId="40" applyFont="1" applyBorder="1" applyAlignment="1">
      <alignment horizontal="left" vertical="top" wrapText="1"/>
    </xf>
    <xf numFmtId="0" fontId="28" fillId="0" borderId="14" xfId="58" applyFont="1" applyBorder="1" applyAlignment="1">
      <alignment horizontal="left" vertical="top" wrapText="1"/>
      <protection/>
    </xf>
    <xf numFmtId="43" fontId="28" fillId="0" borderId="15" xfId="40" applyFont="1" applyBorder="1" applyAlignment="1">
      <alignment horizontal="left" vertical="top" wrapText="1"/>
    </xf>
    <xf numFmtId="43" fontId="28" fillId="0" borderId="10" xfId="40" applyFont="1" applyBorder="1" applyAlignment="1">
      <alignment horizontal="left" vertical="top" wrapText="1"/>
    </xf>
    <xf numFmtId="0" fontId="31" fillId="0" borderId="22" xfId="58" applyFont="1" applyBorder="1">
      <alignment/>
      <protection/>
    </xf>
    <xf numFmtId="0" fontId="31" fillId="0" borderId="23" xfId="58" applyFont="1" applyBorder="1" applyAlignment="1">
      <alignment horizontal="left" vertical="top" wrapText="1"/>
      <protection/>
    </xf>
    <xf numFmtId="43" fontId="31" fillId="0" borderId="10" xfId="40" applyFont="1" applyBorder="1" applyAlignment="1">
      <alignment horizontal="left" vertical="top" wrapText="1"/>
    </xf>
    <xf numFmtId="43" fontId="28" fillId="0" borderId="10" xfId="40" applyFont="1" applyBorder="1" applyAlignment="1" applyProtection="1">
      <alignment/>
      <protection hidden="1" locked="0"/>
    </xf>
    <xf numFmtId="0" fontId="31" fillId="0" borderId="12" xfId="58" applyFont="1" applyBorder="1" applyAlignment="1">
      <alignment horizontal="left" vertical="top" wrapText="1"/>
      <protection/>
    </xf>
    <xf numFmtId="0" fontId="28" fillId="0" borderId="13" xfId="61" applyFont="1" applyFill="1" applyBorder="1" applyAlignment="1">
      <alignment horizontal="center"/>
      <protection/>
    </xf>
    <xf numFmtId="0" fontId="28" fillId="0" borderId="14" xfId="61" applyFont="1" applyFill="1" applyBorder="1">
      <alignment/>
      <protection/>
    </xf>
    <xf numFmtId="0" fontId="28" fillId="0" borderId="16" xfId="61" applyFont="1" applyFill="1" applyBorder="1" applyAlignment="1">
      <alignment horizontal="center"/>
      <protection/>
    </xf>
    <xf numFmtId="0" fontId="28" fillId="0" borderId="17" xfId="61" applyFont="1" applyFill="1" applyBorder="1">
      <alignment/>
      <protection/>
    </xf>
    <xf numFmtId="0" fontId="28" fillId="0" borderId="16" xfId="61" applyFont="1" applyBorder="1" applyAlignment="1">
      <alignment horizontal="center"/>
      <protection/>
    </xf>
    <xf numFmtId="0" fontId="28" fillId="0" borderId="17" xfId="61" applyFont="1" applyBorder="1">
      <alignment/>
      <protection/>
    </xf>
    <xf numFmtId="0" fontId="32" fillId="0" borderId="17" xfId="58" applyFont="1" applyBorder="1" applyAlignment="1">
      <alignment vertical="center"/>
      <protection/>
    </xf>
    <xf numFmtId="43" fontId="28" fillId="0" borderId="18" xfId="40" applyFont="1" applyBorder="1" applyAlignment="1">
      <alignment vertical="center"/>
    </xf>
    <xf numFmtId="0" fontId="28" fillId="0" borderId="20" xfId="58" applyFont="1" applyFill="1" applyBorder="1" applyAlignment="1" quotePrefix="1">
      <alignment horizontal="center"/>
      <protection/>
    </xf>
    <xf numFmtId="43" fontId="28" fillId="0" borderId="21" xfId="40" applyFont="1" applyBorder="1" applyAlignment="1">
      <alignment/>
    </xf>
    <xf numFmtId="43" fontId="28" fillId="0" borderId="10" xfId="40" applyFont="1" applyBorder="1" applyAlignment="1">
      <alignment vertical="center"/>
    </xf>
    <xf numFmtId="0" fontId="31" fillId="0" borderId="10" xfId="58" applyFont="1" applyBorder="1">
      <alignment/>
      <protection/>
    </xf>
    <xf numFmtId="0" fontId="28" fillId="0" borderId="16" xfId="58" applyFont="1" applyBorder="1" applyAlignment="1">
      <alignment horizontal="center"/>
      <protection/>
    </xf>
    <xf numFmtId="43" fontId="28" fillId="0" borderId="0" xfId="40" applyFont="1" applyAlignment="1">
      <alignment/>
    </xf>
    <xf numFmtId="43" fontId="28" fillId="0" borderId="0" xfId="61" applyNumberFormat="1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43" fontId="18" fillId="0" borderId="0" xfId="40" applyFont="1" applyAlignment="1">
      <alignment horizontal="left"/>
    </xf>
    <xf numFmtId="43" fontId="31" fillId="0" borderId="0" xfId="40" applyFont="1" applyAlignment="1">
      <alignment/>
    </xf>
    <xf numFmtId="43" fontId="31" fillId="0" borderId="22" xfId="40" applyFont="1" applyBorder="1" applyAlignment="1">
      <alignment/>
    </xf>
    <xf numFmtId="0" fontId="19" fillId="0" borderId="0" xfId="55" applyFont="1" applyAlignment="1">
      <alignment horizontal="center"/>
      <protection/>
    </xf>
    <xf numFmtId="0" fontId="19" fillId="0" borderId="0" xfId="55" applyFont="1">
      <alignment/>
      <protection/>
    </xf>
    <xf numFmtId="0" fontId="18" fillId="0" borderId="0" xfId="55" applyFont="1" applyAlignment="1">
      <alignment horizontal="center"/>
      <protection/>
    </xf>
    <xf numFmtId="0" fontId="18" fillId="0" borderId="0" xfId="55" applyFont="1">
      <alignment/>
      <protection/>
    </xf>
    <xf numFmtId="0" fontId="19" fillId="0" borderId="22" xfId="55" applyFont="1" applyBorder="1" applyAlignment="1">
      <alignment horizontal="center"/>
      <protection/>
    </xf>
    <xf numFmtId="43" fontId="18" fillId="0" borderId="11" xfId="44" applyFont="1" applyBorder="1" applyAlignment="1">
      <alignment horizontal="center"/>
    </xf>
    <xf numFmtId="0" fontId="18" fillId="0" borderId="21" xfId="55" applyFont="1" applyBorder="1" applyAlignment="1">
      <alignment horizontal="center"/>
      <protection/>
    </xf>
    <xf numFmtId="43" fontId="18" fillId="0" borderId="11" xfId="44" applyFont="1" applyBorder="1" applyAlignment="1">
      <alignment/>
    </xf>
    <xf numFmtId="43" fontId="18" fillId="0" borderId="18" xfId="44" applyFont="1" applyBorder="1" applyAlignment="1">
      <alignment/>
    </xf>
    <xf numFmtId="0" fontId="18" fillId="0" borderId="18" xfId="55" applyFont="1" applyBorder="1">
      <alignment/>
      <protection/>
    </xf>
    <xf numFmtId="43" fontId="18" fillId="0" borderId="24" xfId="44" applyFont="1" applyBorder="1" applyAlignment="1">
      <alignment/>
    </xf>
    <xf numFmtId="43" fontId="19" fillId="0" borderId="11" xfId="44" applyFont="1" applyBorder="1" applyAlignment="1">
      <alignment/>
    </xf>
    <xf numFmtId="0" fontId="19" fillId="0" borderId="11" xfId="55" applyFont="1" applyBorder="1">
      <alignment/>
      <protection/>
    </xf>
    <xf numFmtId="43" fontId="18" fillId="0" borderId="15" xfId="44" applyFont="1" applyBorder="1" applyAlignment="1">
      <alignment/>
    </xf>
    <xf numFmtId="0" fontId="18" fillId="0" borderId="15" xfId="55" applyFont="1" applyBorder="1">
      <alignment/>
      <protection/>
    </xf>
    <xf numFmtId="0" fontId="19" fillId="0" borderId="11" xfId="55" applyFont="1" applyBorder="1" applyAlignment="1">
      <alignment horizontal="center"/>
      <protection/>
    </xf>
    <xf numFmtId="0" fontId="35" fillId="0" borderId="15" xfId="55" applyFont="1" applyBorder="1">
      <alignment/>
      <protection/>
    </xf>
    <xf numFmtId="49" fontId="28" fillId="0" borderId="18" xfId="55" applyNumberFormat="1" applyFont="1" applyBorder="1">
      <alignment/>
      <protection/>
    </xf>
    <xf numFmtId="49" fontId="18" fillId="0" borderId="24" xfId="55" applyNumberFormat="1" applyFont="1" applyBorder="1">
      <alignment/>
      <protection/>
    </xf>
    <xf numFmtId="43" fontId="18" fillId="0" borderId="0" xfId="44" applyFont="1" applyAlignment="1">
      <alignment/>
    </xf>
    <xf numFmtId="43" fontId="28" fillId="0" borderId="15" xfId="42" applyFont="1" applyBorder="1" applyAlignment="1">
      <alignment/>
    </xf>
    <xf numFmtId="43" fontId="28" fillId="0" borderId="25" xfId="40" applyFont="1" applyBorder="1" applyAlignment="1">
      <alignment/>
    </xf>
    <xf numFmtId="43" fontId="30" fillId="0" borderId="0" xfId="61" applyNumberFormat="1" applyFont="1">
      <alignment/>
      <protection/>
    </xf>
    <xf numFmtId="216" fontId="31" fillId="0" borderId="11" xfId="40" applyNumberFormat="1" applyFont="1" applyBorder="1" applyAlignment="1">
      <alignment/>
    </xf>
    <xf numFmtId="0" fontId="59" fillId="0" borderId="0" xfId="0" applyFont="1" applyAlignment="1">
      <alignment/>
    </xf>
    <xf numFmtId="0" fontId="28" fillId="0" borderId="26" xfId="58" applyFont="1" applyFill="1" applyBorder="1" applyAlignment="1">
      <alignment horizontal="center"/>
      <protection/>
    </xf>
    <xf numFmtId="0" fontId="28" fillId="0" borderId="12" xfId="58" applyFont="1" applyFill="1" applyBorder="1" applyAlignment="1" quotePrefix="1">
      <alignment horizontal="center"/>
      <protection/>
    </xf>
    <xf numFmtId="0" fontId="28" fillId="0" borderId="27" xfId="58" applyFont="1" applyFill="1" applyBorder="1" applyAlignment="1">
      <alignment horizontal="center"/>
      <protection/>
    </xf>
    <xf numFmtId="0" fontId="28" fillId="0" borderId="23" xfId="58" applyFont="1" applyFill="1" applyBorder="1" applyAlignment="1" quotePrefix="1">
      <alignment horizontal="center"/>
      <protection/>
    </xf>
    <xf numFmtId="0" fontId="28" fillId="0" borderId="16" xfId="58" applyFont="1" applyBorder="1" applyAlignment="1" quotePrefix="1">
      <alignment horizontal="center" vertical="center"/>
      <protection/>
    </xf>
    <xf numFmtId="4" fontId="27" fillId="0" borderId="10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0" xfId="0" applyFont="1" applyBorder="1" applyAlignment="1" quotePrefix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" fontId="27" fillId="0" borderId="12" xfId="0" applyNumberFormat="1" applyFont="1" applyBorder="1" applyAlignment="1">
      <alignment vertical="center"/>
    </xf>
    <xf numFmtId="0" fontId="27" fillId="0" borderId="0" xfId="0" applyFont="1" applyBorder="1" applyAlignment="1">
      <alignment/>
    </xf>
    <xf numFmtId="4" fontId="25" fillId="0" borderId="0" xfId="40" applyNumberFormat="1" applyFont="1" applyBorder="1" applyAlignment="1">
      <alignment horizontal="right"/>
    </xf>
    <xf numFmtId="43" fontId="34" fillId="0" borderId="0" xfId="40" applyFont="1" applyBorder="1" applyAlignment="1">
      <alignment horizontal="right"/>
    </xf>
    <xf numFmtId="0" fontId="27" fillId="0" borderId="0" xfId="0" applyFont="1" applyAlignment="1">
      <alignment horizontal="left"/>
    </xf>
    <xf numFmtId="4" fontId="27" fillId="0" borderId="0" xfId="0" applyNumberFormat="1" applyFont="1" applyAlignment="1">
      <alignment horizontal="left"/>
    </xf>
    <xf numFmtId="4" fontId="18" fillId="0" borderId="0" xfId="0" applyNumberFormat="1" applyFont="1" applyAlignment="1">
      <alignment horizontal="left"/>
    </xf>
    <xf numFmtId="43" fontId="31" fillId="0" borderId="10" xfId="42" applyFont="1" applyBorder="1" applyAlignment="1">
      <alignment/>
    </xf>
    <xf numFmtId="43" fontId="31" fillId="0" borderId="10" xfId="42" applyFont="1" applyBorder="1" applyAlignment="1" applyProtection="1">
      <alignment/>
      <protection hidden="1" locked="0"/>
    </xf>
    <xf numFmtId="43" fontId="27" fillId="0" borderId="0" xfId="42" applyFont="1" applyAlignment="1">
      <alignment/>
    </xf>
    <xf numFmtId="0" fontId="28" fillId="0" borderId="13" xfId="58" applyFont="1" applyBorder="1" applyAlignment="1">
      <alignment horizontal="center"/>
      <protection/>
    </xf>
    <xf numFmtId="0" fontId="33" fillId="0" borderId="14" xfId="61" applyFont="1" applyBorder="1">
      <alignment/>
      <protection/>
    </xf>
    <xf numFmtId="43" fontId="31" fillId="0" borderId="15" xfId="42" applyFont="1" applyBorder="1" applyAlignment="1">
      <alignment/>
    </xf>
    <xf numFmtId="43" fontId="28" fillId="0" borderId="15" xfId="42" applyFont="1" applyBorder="1" applyAlignment="1" applyProtection="1">
      <alignment/>
      <protection hidden="1" locked="0"/>
    </xf>
    <xf numFmtId="43" fontId="31" fillId="0" borderId="11" xfId="42" applyFont="1" applyBorder="1" applyAlignment="1">
      <alignment/>
    </xf>
    <xf numFmtId="43" fontId="31" fillId="0" borderId="11" xfId="42" applyFont="1" applyBorder="1" applyAlignment="1" applyProtection="1">
      <alignment/>
      <protection hidden="1" locked="0"/>
    </xf>
    <xf numFmtId="43" fontId="27" fillId="0" borderId="0" xfId="0" applyNumberFormat="1" applyFont="1" applyAlignment="1">
      <alignment vertical="center"/>
    </xf>
    <xf numFmtId="43" fontId="26" fillId="0" borderId="0" xfId="40" applyFont="1" applyAlignment="1">
      <alignment/>
    </xf>
    <xf numFmtId="0" fontId="26" fillId="0" borderId="0" xfId="0" applyFont="1" applyAlignment="1">
      <alignment/>
    </xf>
    <xf numFmtId="43" fontId="26" fillId="0" borderId="0" xfId="40" applyFont="1" applyAlignment="1">
      <alignment vertical="center"/>
    </xf>
    <xf numFmtId="4" fontId="26" fillId="0" borderId="0" xfId="0" applyNumberFormat="1" applyFont="1" applyAlignment="1">
      <alignment vertical="center"/>
    </xf>
    <xf numFmtId="43" fontId="27" fillId="0" borderId="0" xfId="40" applyFont="1" applyAlignment="1">
      <alignment vertical="center"/>
    </xf>
    <xf numFmtId="0" fontId="26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4" fontId="27" fillId="0" borderId="10" xfId="0" applyNumberFormat="1" applyFont="1" applyBorder="1" applyAlignment="1" quotePrefix="1">
      <alignment horizontal="right" vertical="center"/>
    </xf>
    <xf numFmtId="4" fontId="27" fillId="0" borderId="10" xfId="40" applyNumberFormat="1" applyFont="1" applyBorder="1" applyAlignment="1">
      <alignment vertical="center"/>
    </xf>
    <xf numFmtId="43" fontId="28" fillId="0" borderId="15" xfId="40" applyFont="1" applyBorder="1" applyAlignment="1">
      <alignment vertical="center"/>
    </xf>
    <xf numFmtId="216" fontId="28" fillId="0" borderId="18" xfId="40" applyNumberFormat="1" applyFont="1" applyBorder="1" applyAlignment="1">
      <alignment/>
    </xf>
    <xf numFmtId="43" fontId="19" fillId="0" borderId="0" xfId="61" applyNumberFormat="1" applyFont="1">
      <alignment/>
      <protection/>
    </xf>
    <xf numFmtId="0" fontId="18" fillId="0" borderId="0" xfId="61" applyFont="1">
      <alignment/>
      <protection/>
    </xf>
    <xf numFmtId="43" fontId="18" fillId="0" borderId="0" xfId="61" applyNumberFormat="1" applyFont="1">
      <alignment/>
      <protection/>
    </xf>
    <xf numFmtId="4" fontId="27" fillId="0" borderId="12" xfId="40" applyNumberFormat="1" applyFont="1" applyBorder="1" applyAlignment="1">
      <alignment vertical="center"/>
    </xf>
    <xf numFmtId="43" fontId="19" fillId="0" borderId="0" xfId="40" applyFont="1" applyAlignment="1">
      <alignment/>
    </xf>
    <xf numFmtId="0" fontId="19" fillId="0" borderId="0" xfId="55" applyFont="1" applyAlignment="1">
      <alignment horizontal="left"/>
      <protection/>
    </xf>
    <xf numFmtId="49" fontId="18" fillId="0" borderId="18" xfId="55" applyNumberFormat="1" applyFont="1" applyBorder="1">
      <alignment/>
      <protection/>
    </xf>
    <xf numFmtId="49" fontId="27" fillId="0" borderId="18" xfId="55" applyNumberFormat="1" applyFont="1" applyBorder="1">
      <alignment/>
      <protection/>
    </xf>
    <xf numFmtId="0" fontId="28" fillId="0" borderId="17" xfId="58" applyFont="1" applyBorder="1" applyAlignment="1">
      <alignment horizontal="left" wrapText="1"/>
      <protection/>
    </xf>
    <xf numFmtId="0" fontId="25" fillId="0" borderId="0" xfId="0" applyFont="1" applyBorder="1" applyAlignment="1">
      <alignment horizontal="center" vertical="center"/>
    </xf>
    <xf numFmtId="43" fontId="28" fillId="0" borderId="18" xfId="40" applyFont="1" applyBorder="1" applyAlignment="1" applyProtection="1">
      <alignment/>
      <protection hidden="1" locked="0"/>
    </xf>
    <xf numFmtId="0" fontId="19" fillId="0" borderId="28" xfId="58" applyFont="1" applyBorder="1" applyAlignment="1">
      <alignment horizontal="center"/>
      <protection/>
    </xf>
    <xf numFmtId="0" fontId="27" fillId="0" borderId="27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11" xfId="0" applyFont="1" applyBorder="1" applyAlignment="1">
      <alignment/>
    </xf>
    <xf numFmtId="4" fontId="27" fillId="0" borderId="11" xfId="40" applyNumberFormat="1" applyFont="1" applyBorder="1" applyAlignment="1">
      <alignment horizontal="right"/>
    </xf>
    <xf numFmtId="0" fontId="18" fillId="0" borderId="28" xfId="58" applyFont="1" applyFill="1" applyBorder="1" applyAlignment="1" quotePrefix="1">
      <alignment horizontal="center"/>
      <protection/>
    </xf>
    <xf numFmtId="0" fontId="18" fillId="0" borderId="12" xfId="58" applyFont="1" applyFill="1" applyBorder="1" applyAlignment="1" quotePrefix="1">
      <alignment horizontal="center"/>
      <protection/>
    </xf>
    <xf numFmtId="0" fontId="18" fillId="0" borderId="0" xfId="61" applyFont="1" applyAlignment="1">
      <alignment horizontal="center"/>
      <protection/>
    </xf>
    <xf numFmtId="0" fontId="18" fillId="0" borderId="12" xfId="61" applyFont="1" applyBorder="1" applyAlignment="1">
      <alignment horizontal="center"/>
      <protection/>
    </xf>
    <xf numFmtId="0" fontId="18" fillId="0" borderId="14" xfId="58" applyFont="1" applyFill="1" applyBorder="1" applyAlignment="1">
      <alignment horizontal="center"/>
      <protection/>
    </xf>
    <xf numFmtId="0" fontId="18" fillId="0" borderId="17" xfId="58" applyFont="1" applyFill="1" applyBorder="1" applyAlignment="1">
      <alignment horizontal="center"/>
      <protection/>
    </xf>
    <xf numFmtId="0" fontId="18" fillId="0" borderId="14" xfId="58" applyFont="1" applyBorder="1" applyAlignment="1">
      <alignment horizontal="center"/>
      <protection/>
    </xf>
    <xf numFmtId="0" fontId="18" fillId="0" borderId="12" xfId="58" applyFont="1" applyBorder="1" applyAlignment="1">
      <alignment horizontal="center"/>
      <protection/>
    </xf>
    <xf numFmtId="0" fontId="18" fillId="0" borderId="17" xfId="58" applyFont="1" applyBorder="1" applyAlignment="1">
      <alignment horizontal="center"/>
      <protection/>
    </xf>
    <xf numFmtId="0" fontId="18" fillId="0" borderId="17" xfId="58" applyFont="1" applyBorder="1" applyAlignment="1">
      <alignment horizontal="center" vertical="top" wrapText="1"/>
      <protection/>
    </xf>
    <xf numFmtId="0" fontId="18" fillId="0" borderId="17" xfId="0" applyFont="1" applyBorder="1" applyAlignment="1">
      <alignment horizontal="center"/>
    </xf>
    <xf numFmtId="0" fontId="18" fillId="0" borderId="12" xfId="58" applyFont="1" applyBorder="1" applyAlignment="1">
      <alignment horizontal="center" vertical="top" wrapText="1"/>
      <protection/>
    </xf>
    <xf numFmtId="0" fontId="18" fillId="0" borderId="19" xfId="58" applyFont="1" applyBorder="1" applyAlignment="1">
      <alignment horizontal="center" vertical="top" wrapText="1"/>
      <protection/>
    </xf>
    <xf numFmtId="0" fontId="18" fillId="0" borderId="14" xfId="58" applyFont="1" applyBorder="1" applyAlignment="1">
      <alignment horizontal="center" vertical="top" wrapText="1"/>
      <protection/>
    </xf>
    <xf numFmtId="0" fontId="19" fillId="0" borderId="12" xfId="58" applyFont="1" applyBorder="1" applyAlignment="1">
      <alignment horizontal="center" vertical="top" wrapText="1"/>
      <protection/>
    </xf>
    <xf numFmtId="0" fontId="18" fillId="0" borderId="14" xfId="61" applyFont="1" applyFill="1" applyBorder="1" applyAlignment="1">
      <alignment horizontal="center"/>
      <protection/>
    </xf>
    <xf numFmtId="0" fontId="18" fillId="0" borderId="17" xfId="61" applyFont="1" applyFill="1" applyBorder="1" applyAlignment="1">
      <alignment horizontal="center"/>
      <protection/>
    </xf>
    <xf numFmtId="0" fontId="18" fillId="0" borderId="17" xfId="61" applyFont="1" applyBorder="1" applyAlignment="1">
      <alignment horizontal="center"/>
      <protection/>
    </xf>
    <xf numFmtId="0" fontId="18" fillId="0" borderId="17" xfId="58" applyFont="1" applyBorder="1" applyAlignment="1">
      <alignment horizontal="center" vertical="center"/>
      <protection/>
    </xf>
    <xf numFmtId="0" fontId="18" fillId="0" borderId="19" xfId="58" applyFont="1" applyBorder="1" applyAlignment="1">
      <alignment horizontal="center"/>
      <protection/>
    </xf>
    <xf numFmtId="0" fontId="18" fillId="0" borderId="17" xfId="58" applyFont="1" applyBorder="1" applyAlignment="1">
      <alignment horizontal="center" wrapText="1"/>
      <protection/>
    </xf>
    <xf numFmtId="0" fontId="18" fillId="0" borderId="14" xfId="61" applyFont="1" applyBorder="1" applyAlignment="1">
      <alignment horizontal="center"/>
      <protection/>
    </xf>
    <xf numFmtId="0" fontId="31" fillId="0" borderId="27" xfId="58" applyFont="1" applyBorder="1" applyAlignment="1" quotePrefix="1">
      <alignment horizontal="left"/>
      <protection/>
    </xf>
    <xf numFmtId="0" fontId="19" fillId="0" borderId="10" xfId="58" applyFont="1" applyBorder="1">
      <alignment/>
      <protection/>
    </xf>
    <xf numFmtId="0" fontId="19" fillId="0" borderId="28" xfId="58" applyFont="1" applyFill="1" applyBorder="1" applyAlignment="1" quotePrefix="1">
      <alignment horizontal="center"/>
      <protection/>
    </xf>
    <xf numFmtId="43" fontId="25" fillId="0" borderId="0" xfId="40" applyFont="1" applyAlignment="1">
      <alignment/>
    </xf>
    <xf numFmtId="0" fontId="38" fillId="0" borderId="0" xfId="61" applyFont="1">
      <alignment/>
      <protection/>
    </xf>
    <xf numFmtId="43" fontId="25" fillId="0" borderId="0" xfId="42" applyFont="1" applyAlignment="1">
      <alignment/>
    </xf>
    <xf numFmtId="0" fontId="31" fillId="0" borderId="27" xfId="58" applyFont="1" applyFill="1" applyBorder="1" applyAlignment="1">
      <alignment horizontal="center"/>
      <protection/>
    </xf>
    <xf numFmtId="0" fontId="31" fillId="0" borderId="12" xfId="58" applyFont="1" applyFill="1" applyBorder="1" applyAlignment="1" quotePrefix="1">
      <alignment horizontal="center"/>
      <protection/>
    </xf>
    <xf numFmtId="0" fontId="19" fillId="0" borderId="12" xfId="58" applyFont="1" applyFill="1" applyBorder="1" applyAlignment="1" quotePrefix="1">
      <alignment horizontal="center"/>
      <protection/>
    </xf>
    <xf numFmtId="0" fontId="31" fillId="0" borderId="26" xfId="58" applyFont="1" applyFill="1" applyBorder="1" applyAlignment="1">
      <alignment horizontal="center"/>
      <protection/>
    </xf>
    <xf numFmtId="0" fontId="19" fillId="0" borderId="26" xfId="58" applyFont="1" applyBorder="1" applyAlignment="1">
      <alignment horizontal="center"/>
      <protection/>
    </xf>
    <xf numFmtId="0" fontId="19" fillId="0" borderId="23" xfId="58" applyFont="1" applyBorder="1" applyAlignment="1">
      <alignment horizontal="center"/>
      <protection/>
    </xf>
    <xf numFmtId="0" fontId="19" fillId="0" borderId="12" xfId="58" applyFont="1" applyBorder="1" applyAlignment="1">
      <alignment horizontal="center"/>
      <protection/>
    </xf>
    <xf numFmtId="0" fontId="19" fillId="0" borderId="10" xfId="58" applyFont="1" applyBorder="1" applyAlignment="1">
      <alignment horizontal="center"/>
      <protection/>
    </xf>
    <xf numFmtId="43" fontId="19" fillId="0" borderId="10" xfId="40" applyFont="1" applyBorder="1" applyAlignment="1" applyProtection="1">
      <alignment horizontal="center"/>
      <protection hidden="1" locked="0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3" fontId="18" fillId="0" borderId="0" xfId="40" applyFont="1" applyAlignment="1">
      <alignment horizontal="center"/>
    </xf>
    <xf numFmtId="43" fontId="19" fillId="0" borderId="0" xfId="40" applyFont="1" applyBorder="1" applyAlignment="1">
      <alignment horizontal="center"/>
    </xf>
    <xf numFmtId="4" fontId="18" fillId="0" borderId="31" xfId="0" applyNumberFormat="1" applyFont="1" applyBorder="1" applyAlignment="1">
      <alignment/>
    </xf>
    <xf numFmtId="4" fontId="18" fillId="0" borderId="0" xfId="40" applyNumberFormat="1" applyFont="1" applyBorder="1" applyAlignment="1">
      <alignment/>
    </xf>
    <xf numFmtId="0" fontId="25" fillId="0" borderId="27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3" fontId="31" fillId="0" borderId="0" xfId="43" applyFont="1" applyFill="1" applyAlignment="1">
      <alignment horizontal="center"/>
    </xf>
    <xf numFmtId="43" fontId="28" fillId="0" borderId="0" xfId="43" applyFont="1" applyFill="1" applyAlignment="1">
      <alignment/>
    </xf>
    <xf numFmtId="43" fontId="31" fillId="0" borderId="22" xfId="43" applyFont="1" applyFill="1" applyBorder="1" applyAlignment="1">
      <alignment horizontal="center"/>
    </xf>
    <xf numFmtId="43" fontId="31" fillId="0" borderId="22" xfId="43" applyFont="1" applyBorder="1" applyAlignment="1">
      <alignment horizontal="center" vertical="center" shrinkToFit="1"/>
    </xf>
    <xf numFmtId="43" fontId="31" fillId="0" borderId="21" xfId="43" applyFont="1" applyFill="1" applyBorder="1" applyAlignment="1">
      <alignment horizontal="center"/>
    </xf>
    <xf numFmtId="43" fontId="31" fillId="0" borderId="21" xfId="43" applyFont="1" applyBorder="1" applyAlignment="1">
      <alignment horizontal="center" vertical="center" shrinkToFit="1"/>
    </xf>
    <xf numFmtId="43" fontId="28" fillId="0" borderId="15" xfId="43" applyFont="1" applyFill="1" applyBorder="1" applyAlignment="1">
      <alignment horizontal="center"/>
    </xf>
    <xf numFmtId="43" fontId="28" fillId="0" borderId="15" xfId="43" applyFont="1" applyFill="1" applyBorder="1" applyAlignment="1">
      <alignment/>
    </xf>
    <xf numFmtId="43" fontId="28" fillId="0" borderId="32" xfId="43" applyFont="1" applyFill="1" applyBorder="1" applyAlignment="1">
      <alignment/>
    </xf>
    <xf numFmtId="43" fontId="28" fillId="0" borderId="18" xfId="43" applyFont="1" applyFill="1" applyBorder="1" applyAlignment="1">
      <alignment/>
    </xf>
    <xf numFmtId="43" fontId="28" fillId="0" borderId="18" xfId="43" applyFont="1" applyFill="1" applyBorder="1" applyAlignment="1">
      <alignment horizontal="center"/>
    </xf>
    <xf numFmtId="43" fontId="31" fillId="0" borderId="0" xfId="43" applyFont="1" applyFill="1" applyAlignment="1">
      <alignment/>
    </xf>
    <xf numFmtId="43" fontId="28" fillId="0" borderId="0" xfId="43" applyFont="1" applyAlignment="1">
      <alignment/>
    </xf>
    <xf numFmtId="43" fontId="28" fillId="0" borderId="18" xfId="43" applyFont="1" applyBorder="1" applyAlignment="1">
      <alignment/>
    </xf>
    <xf numFmtId="43" fontId="31" fillId="0" borderId="18" xfId="43" applyFont="1" applyBorder="1" applyAlignment="1">
      <alignment/>
    </xf>
    <xf numFmtId="43" fontId="31" fillId="0" borderId="33" xfId="43" applyFont="1" applyBorder="1" applyAlignment="1">
      <alignment horizontal="center"/>
    </xf>
    <xf numFmtId="43" fontId="31" fillId="0" borderId="34" xfId="43" applyFont="1" applyBorder="1" applyAlignment="1">
      <alignment/>
    </xf>
    <xf numFmtId="43" fontId="31" fillId="0" borderId="33" xfId="43" applyFont="1" applyBorder="1" applyAlignment="1">
      <alignment/>
    </xf>
    <xf numFmtId="43" fontId="28" fillId="0" borderId="0" xfId="43" applyFont="1" applyFill="1" applyBorder="1" applyAlignment="1">
      <alignment/>
    </xf>
    <xf numFmtId="43" fontId="31" fillId="0" borderId="0" xfId="43" applyFont="1" applyBorder="1" applyAlignment="1">
      <alignment/>
    </xf>
    <xf numFmtId="49" fontId="18" fillId="0" borderId="0" xfId="43" applyNumberFormat="1" applyFont="1" applyAlignment="1">
      <alignment horizontal="left"/>
    </xf>
    <xf numFmtId="0" fontId="18" fillId="0" borderId="0" xfId="60" applyFont="1">
      <alignment/>
      <protection/>
    </xf>
    <xf numFmtId="43" fontId="31" fillId="0" borderId="0" xfId="43" applyFont="1" applyFill="1" applyBorder="1" applyAlignment="1">
      <alignment/>
    </xf>
    <xf numFmtId="43" fontId="19" fillId="0" borderId="0" xfId="43" applyFont="1" applyFill="1" applyAlignment="1">
      <alignment/>
    </xf>
    <xf numFmtId="43" fontId="18" fillId="0" borderId="0" xfId="43" applyFont="1" applyAlignment="1">
      <alignment/>
    </xf>
    <xf numFmtId="43" fontId="31" fillId="0" borderId="0" xfId="43" applyFont="1" applyAlignment="1">
      <alignment/>
    </xf>
    <xf numFmtId="0" fontId="28" fillId="0" borderId="18" xfId="60" applyFont="1" applyFill="1" applyBorder="1">
      <alignment/>
      <protection/>
    </xf>
    <xf numFmtId="43" fontId="28" fillId="0" borderId="10" xfId="43" applyFont="1" applyFill="1" applyBorder="1" applyAlignment="1">
      <alignment/>
    </xf>
    <xf numFmtId="43" fontId="28" fillId="0" borderId="10" xfId="43" applyFont="1" applyFill="1" applyBorder="1" applyAlignment="1">
      <alignment horizontal="center"/>
    </xf>
    <xf numFmtId="43" fontId="31" fillId="0" borderId="0" xfId="43" applyFont="1" applyFill="1" applyBorder="1" applyAlignment="1">
      <alignment horizontal="center"/>
    </xf>
    <xf numFmtId="43" fontId="37" fillId="0" borderId="32" xfId="43" applyFont="1" applyFill="1" applyBorder="1" applyAlignment="1">
      <alignment/>
    </xf>
    <xf numFmtId="43" fontId="28" fillId="0" borderId="32" xfId="43" applyFont="1" applyFill="1" applyBorder="1" applyAlignment="1">
      <alignment horizontal="center"/>
    </xf>
    <xf numFmtId="43" fontId="28" fillId="0" borderId="35" xfId="43" applyFont="1" applyFill="1" applyBorder="1" applyAlignment="1">
      <alignment/>
    </xf>
    <xf numFmtId="43" fontId="31" fillId="0" borderId="22" xfId="43" applyFont="1" applyFill="1" applyBorder="1" applyAlignment="1">
      <alignment/>
    </xf>
    <xf numFmtId="43" fontId="41" fillId="0" borderId="32" xfId="43" applyFont="1" applyBorder="1" applyAlignment="1">
      <alignment/>
    </xf>
    <xf numFmtId="43" fontId="31" fillId="0" borderId="32" xfId="43" applyFont="1" applyBorder="1" applyAlignment="1">
      <alignment/>
    </xf>
    <xf numFmtId="43" fontId="31" fillId="0" borderId="16" xfId="43" applyFont="1" applyBorder="1" applyAlignment="1">
      <alignment/>
    </xf>
    <xf numFmtId="43" fontId="28" fillId="0" borderId="16" xfId="43" applyFont="1" applyBorder="1" applyAlignment="1">
      <alignment/>
    </xf>
    <xf numFmtId="43" fontId="28" fillId="0" borderId="24" xfId="43" applyFont="1" applyBorder="1" applyAlignment="1">
      <alignment/>
    </xf>
    <xf numFmtId="43" fontId="28" fillId="0" borderId="36" xfId="43" applyFont="1" applyBorder="1" applyAlignment="1">
      <alignment/>
    </xf>
    <xf numFmtId="43" fontId="31" fillId="0" borderId="24" xfId="43" applyFont="1" applyBorder="1" applyAlignment="1">
      <alignment/>
    </xf>
    <xf numFmtId="43" fontId="31" fillId="0" borderId="36" xfId="43" applyFont="1" applyBorder="1" applyAlignment="1">
      <alignment/>
    </xf>
    <xf numFmtId="43" fontId="31" fillId="0" borderId="37" xfId="43" applyFont="1" applyBorder="1" applyAlignment="1">
      <alignment/>
    </xf>
    <xf numFmtId="49" fontId="28" fillId="0" borderId="0" xfId="43" applyNumberFormat="1" applyFont="1" applyAlignment="1">
      <alignment horizontal="left"/>
    </xf>
    <xf numFmtId="49" fontId="28" fillId="0" borderId="0" xfId="43" applyNumberFormat="1" applyFont="1" applyAlignment="1">
      <alignment/>
    </xf>
    <xf numFmtId="49" fontId="27" fillId="0" borderId="0" xfId="43" applyNumberFormat="1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43" fontId="28" fillId="0" borderId="15" xfId="43" applyFont="1" applyBorder="1" applyAlignment="1">
      <alignment/>
    </xf>
    <xf numFmtId="0" fontId="19" fillId="0" borderId="0" xfId="60" applyFont="1">
      <alignment/>
      <protection/>
    </xf>
    <xf numFmtId="43" fontId="18" fillId="0" borderId="0" xfId="60" applyNumberFormat="1" applyFont="1">
      <alignment/>
      <protection/>
    </xf>
    <xf numFmtId="43" fontId="18" fillId="0" borderId="31" xfId="60" applyNumberFormat="1" applyFont="1" applyBorder="1">
      <alignment/>
      <protection/>
    </xf>
    <xf numFmtId="43" fontId="18" fillId="0" borderId="0" xfId="60" applyNumberFormat="1" applyFont="1" applyBorder="1">
      <alignment/>
      <protection/>
    </xf>
    <xf numFmtId="43" fontId="60" fillId="0" borderId="0" xfId="43" applyFont="1" applyFill="1" applyAlignment="1">
      <alignment/>
    </xf>
    <xf numFmtId="43" fontId="61" fillId="0" borderId="0" xfId="43" applyFont="1" applyFill="1" applyAlignment="1">
      <alignment horizontal="center"/>
    </xf>
    <xf numFmtId="43" fontId="60" fillId="0" borderId="0" xfId="43" applyFont="1" applyFill="1" applyBorder="1" applyAlignment="1">
      <alignment/>
    </xf>
    <xf numFmtId="43" fontId="62" fillId="0" borderId="22" xfId="43" applyFont="1" applyFill="1" applyBorder="1" applyAlignment="1">
      <alignment horizontal="center"/>
    </xf>
    <xf numFmtId="43" fontId="62" fillId="0" borderId="22" xfId="43" applyFont="1" applyFill="1" applyBorder="1" applyAlignment="1">
      <alignment horizontal="center" vertical="center" shrinkToFit="1"/>
    </xf>
    <xf numFmtId="43" fontId="62" fillId="0" borderId="0" xfId="43" applyFont="1" applyFill="1" applyAlignment="1">
      <alignment horizontal="center"/>
    </xf>
    <xf numFmtId="43" fontId="62" fillId="0" borderId="21" xfId="43" applyFont="1" applyFill="1" applyBorder="1" applyAlignment="1">
      <alignment horizontal="center" vertical="center" shrinkToFit="1"/>
    </xf>
    <xf numFmtId="43" fontId="62" fillId="0" borderId="21" xfId="43" applyFont="1" applyFill="1" applyBorder="1" applyAlignment="1">
      <alignment horizontal="center" shrinkToFit="1"/>
    </xf>
    <xf numFmtId="43" fontId="63" fillId="0" borderId="10" xfId="43" applyFont="1" applyFill="1" applyBorder="1" applyAlignment="1">
      <alignment/>
    </xf>
    <xf numFmtId="43" fontId="64" fillId="0" borderId="10" xfId="43" applyFont="1" applyFill="1" applyBorder="1" applyAlignment="1">
      <alignment horizontal="center"/>
    </xf>
    <xf numFmtId="43" fontId="64" fillId="0" borderId="10" xfId="43" applyFont="1" applyFill="1" applyBorder="1" applyAlignment="1">
      <alignment/>
    </xf>
    <xf numFmtId="43" fontId="64" fillId="0" borderId="0" xfId="43" applyFont="1" applyFill="1" applyAlignment="1">
      <alignment/>
    </xf>
    <xf numFmtId="43" fontId="64" fillId="0" borderId="18" xfId="43" applyFont="1" applyFill="1" applyBorder="1" applyAlignment="1">
      <alignment/>
    </xf>
    <xf numFmtId="43" fontId="64" fillId="0" borderId="18" xfId="43" applyFont="1" applyFill="1" applyBorder="1" applyAlignment="1">
      <alignment horizontal="center"/>
    </xf>
    <xf numFmtId="43" fontId="64" fillId="0" borderId="15" xfId="43" applyFont="1" applyFill="1" applyBorder="1" applyAlignment="1">
      <alignment/>
    </xf>
    <xf numFmtId="43" fontId="64" fillId="0" borderId="15" xfId="43" applyFont="1" applyFill="1" applyBorder="1" applyAlignment="1">
      <alignment horizontal="center"/>
    </xf>
    <xf numFmtId="43" fontId="62" fillId="0" borderId="33" xfId="43" applyFont="1" applyFill="1" applyBorder="1" applyAlignment="1">
      <alignment horizontal="center"/>
    </xf>
    <xf numFmtId="43" fontId="62" fillId="0" borderId="33" xfId="43" applyFont="1" applyFill="1" applyBorder="1" applyAlignment="1">
      <alignment/>
    </xf>
    <xf numFmtId="43" fontId="62" fillId="0" borderId="0" xfId="43" applyFont="1" applyFill="1" applyAlignment="1">
      <alignment/>
    </xf>
    <xf numFmtId="43" fontId="65" fillId="0" borderId="38" xfId="43" applyFont="1" applyFill="1" applyBorder="1" applyAlignment="1">
      <alignment/>
    </xf>
    <xf numFmtId="43" fontId="62" fillId="0" borderId="38" xfId="43" applyFont="1" applyFill="1" applyBorder="1" applyAlignment="1">
      <alignment/>
    </xf>
    <xf numFmtId="43" fontId="65" fillId="0" borderId="15" xfId="43" applyFont="1" applyBorder="1" applyAlignment="1">
      <alignment/>
    </xf>
    <xf numFmtId="43" fontId="64" fillId="0" borderId="15" xfId="43" applyFont="1" applyBorder="1" applyAlignment="1">
      <alignment/>
    </xf>
    <xf numFmtId="43" fontId="62" fillId="0" borderId="15" xfId="43" applyFont="1" applyBorder="1" applyAlignment="1">
      <alignment/>
    </xf>
    <xf numFmtId="43" fontId="62" fillId="0" borderId="18" xfId="43" applyFont="1" applyBorder="1" applyAlignment="1">
      <alignment/>
    </xf>
    <xf numFmtId="43" fontId="64" fillId="0" borderId="18" xfId="43" applyFont="1" applyBorder="1" applyAlignment="1">
      <alignment/>
    </xf>
    <xf numFmtId="43" fontId="64" fillId="0" borderId="0" xfId="43" applyFont="1" applyAlignment="1">
      <alignment/>
    </xf>
    <xf numFmtId="43" fontId="62" fillId="0" borderId="16" xfId="43" applyFont="1" applyBorder="1" applyAlignment="1">
      <alignment/>
    </xf>
    <xf numFmtId="43" fontId="64" fillId="0" borderId="16" xfId="43" applyFont="1" applyBorder="1" applyAlignment="1">
      <alignment/>
    </xf>
    <xf numFmtId="43" fontId="64" fillId="0" borderId="10" xfId="43" applyFont="1" applyBorder="1" applyAlignment="1">
      <alignment/>
    </xf>
    <xf numFmtId="43" fontId="62" fillId="0" borderId="27" xfId="43" applyFont="1" applyBorder="1" applyAlignment="1">
      <alignment/>
    </xf>
    <xf numFmtId="43" fontId="64" fillId="0" borderId="27" xfId="43" applyFont="1" applyBorder="1" applyAlignment="1">
      <alignment/>
    </xf>
    <xf numFmtId="43" fontId="62" fillId="0" borderId="33" xfId="43" applyFont="1" applyBorder="1" applyAlignment="1">
      <alignment horizontal="center"/>
    </xf>
    <xf numFmtId="43" fontId="62" fillId="0" borderId="34" xfId="43" applyFont="1" applyBorder="1" applyAlignment="1">
      <alignment/>
    </xf>
    <xf numFmtId="43" fontId="62" fillId="0" borderId="33" xfId="43" applyFont="1" applyBorder="1" applyAlignment="1">
      <alignment/>
    </xf>
    <xf numFmtId="43" fontId="62" fillId="0" borderId="39" xfId="60" applyNumberFormat="1" applyFont="1" applyBorder="1">
      <alignment/>
      <protection/>
    </xf>
    <xf numFmtId="0" fontId="64" fillId="0" borderId="0" xfId="60" applyFont="1">
      <alignment/>
      <protection/>
    </xf>
    <xf numFmtId="43" fontId="64" fillId="0" borderId="0" xfId="43" applyFont="1" applyFill="1" applyBorder="1" applyAlignment="1">
      <alignment/>
    </xf>
    <xf numFmtId="43" fontId="62" fillId="0" borderId="0" xfId="60" applyNumberFormat="1" applyFont="1" applyBorder="1">
      <alignment/>
      <protection/>
    </xf>
    <xf numFmtId="210" fontId="62" fillId="0" borderId="33" xfId="43" applyNumberFormat="1" applyFont="1" applyFill="1" applyBorder="1" applyAlignment="1">
      <alignment/>
    </xf>
    <xf numFmtId="0" fontId="18" fillId="0" borderId="0" xfId="54" applyFont="1">
      <alignment/>
      <protection/>
    </xf>
    <xf numFmtId="0" fontId="18" fillId="0" borderId="0" xfId="54" applyFont="1" applyAlignment="1">
      <alignment horizontal="center"/>
      <protection/>
    </xf>
    <xf numFmtId="0" fontId="35" fillId="0" borderId="0" xfId="54" applyFont="1" applyBorder="1" applyAlignment="1">
      <alignment horizontal="center"/>
      <protection/>
    </xf>
    <xf numFmtId="0" fontId="18" fillId="0" borderId="0" xfId="54" applyFont="1" applyBorder="1" applyAlignment="1">
      <alignment horizontal="center"/>
      <protection/>
    </xf>
    <xf numFmtId="0" fontId="39" fillId="0" borderId="0" xfId="54" applyFont="1">
      <alignment/>
      <protection/>
    </xf>
    <xf numFmtId="43" fontId="39" fillId="0" borderId="40" xfId="43" applyFont="1" applyBorder="1" applyAlignment="1">
      <alignment/>
    </xf>
    <xf numFmtId="43" fontId="18" fillId="0" borderId="0" xfId="54" applyNumberFormat="1" applyFont="1">
      <alignment/>
      <protection/>
    </xf>
    <xf numFmtId="43" fontId="18" fillId="0" borderId="0" xfId="43" applyFont="1" applyAlignment="1" quotePrefix="1">
      <alignment horizontal="left"/>
    </xf>
    <xf numFmtId="43" fontId="40" fillId="0" borderId="0" xfId="54" applyNumberFormat="1" applyFont="1">
      <alignment/>
      <protection/>
    </xf>
    <xf numFmtId="0" fontId="18" fillId="0" borderId="0" xfId="54" applyFont="1" applyAlignment="1">
      <alignment horizontal="left"/>
      <protection/>
    </xf>
    <xf numFmtId="43" fontId="39" fillId="0" borderId="0" xfId="43" applyFont="1" applyBorder="1" applyAlignment="1">
      <alignment/>
    </xf>
    <xf numFmtId="0" fontId="39" fillId="0" borderId="0" xfId="54" applyFont="1" applyAlignment="1">
      <alignment horizontal="center"/>
      <protection/>
    </xf>
    <xf numFmtId="0" fontId="42" fillId="0" borderId="0" xfId="54" applyFont="1">
      <alignment/>
      <protection/>
    </xf>
    <xf numFmtId="4" fontId="18" fillId="0" borderId="0" xfId="0" applyNumberFormat="1" applyFont="1" applyBorder="1" applyAlignment="1">
      <alignment/>
    </xf>
    <xf numFmtId="0" fontId="18" fillId="0" borderId="0" xfId="59" applyFont="1">
      <alignment/>
      <protection/>
    </xf>
    <xf numFmtId="43" fontId="18" fillId="0" borderId="0" xfId="43" applyFont="1" applyAlignment="1">
      <alignment horizontal="center"/>
    </xf>
    <xf numFmtId="0" fontId="19" fillId="0" borderId="0" xfId="59" applyFont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0" fontId="18" fillId="0" borderId="11" xfId="59" applyFont="1" applyBorder="1" applyAlignment="1">
      <alignment horizontal="center"/>
      <protection/>
    </xf>
    <xf numFmtId="43" fontId="18" fillId="0" borderId="11" xfId="43" applyFont="1" applyBorder="1" applyAlignment="1">
      <alignment horizontal="center"/>
    </xf>
    <xf numFmtId="0" fontId="18" fillId="0" borderId="41" xfId="59" applyFont="1" applyBorder="1">
      <alignment/>
      <protection/>
    </xf>
    <xf numFmtId="0" fontId="18" fillId="0" borderId="23" xfId="59" applyFont="1" applyBorder="1">
      <alignment/>
      <protection/>
    </xf>
    <xf numFmtId="43" fontId="18" fillId="0" borderId="22" xfId="43" applyFont="1" applyBorder="1" applyAlignment="1">
      <alignment/>
    </xf>
    <xf numFmtId="0" fontId="18" fillId="0" borderId="22" xfId="59" applyFont="1" applyBorder="1">
      <alignment/>
      <protection/>
    </xf>
    <xf numFmtId="0" fontId="18" fillId="0" borderId="0" xfId="59" applyFont="1" applyBorder="1">
      <alignment/>
      <protection/>
    </xf>
    <xf numFmtId="0" fontId="18" fillId="0" borderId="14" xfId="59" applyFont="1" applyBorder="1">
      <alignment/>
      <protection/>
    </xf>
    <xf numFmtId="43" fontId="18" fillId="0" borderId="15" xfId="43" applyFont="1" applyBorder="1" applyAlignment="1">
      <alignment/>
    </xf>
    <xf numFmtId="0" fontId="18" fillId="0" borderId="15" xfId="59" applyFont="1" applyBorder="1" applyAlignment="1">
      <alignment horizontal="left" indent="1"/>
      <protection/>
    </xf>
    <xf numFmtId="43" fontId="18" fillId="0" borderId="0" xfId="59" applyNumberFormat="1" applyFont="1">
      <alignment/>
      <protection/>
    </xf>
    <xf numFmtId="0" fontId="18" fillId="0" borderId="17" xfId="59" applyFont="1" applyBorder="1">
      <alignment/>
      <protection/>
    </xf>
    <xf numFmtId="43" fontId="18" fillId="0" borderId="18" xfId="43" applyFont="1" applyBorder="1" applyAlignment="1">
      <alignment/>
    </xf>
    <xf numFmtId="0" fontId="18" fillId="0" borderId="18" xfId="59" applyFont="1" applyBorder="1" applyAlignment="1">
      <alignment horizontal="left" indent="1"/>
      <protection/>
    </xf>
    <xf numFmtId="0" fontId="18" fillId="0" borderId="12" xfId="59" applyFont="1" applyBorder="1">
      <alignment/>
      <protection/>
    </xf>
    <xf numFmtId="43" fontId="18" fillId="0" borderId="10" xfId="43" applyFont="1" applyBorder="1" applyAlignment="1">
      <alignment/>
    </xf>
    <xf numFmtId="0" fontId="18" fillId="0" borderId="10" xfId="59" applyFont="1" applyBorder="1" applyAlignment="1">
      <alignment horizontal="left" indent="1"/>
      <protection/>
    </xf>
    <xf numFmtId="0" fontId="18" fillId="0" borderId="10" xfId="59" applyFont="1" applyBorder="1">
      <alignment/>
      <protection/>
    </xf>
    <xf numFmtId="0" fontId="19" fillId="0" borderId="0" xfId="59" applyFont="1" applyAlignment="1">
      <alignment horizontal="left"/>
      <protection/>
    </xf>
    <xf numFmtId="43" fontId="18" fillId="0" borderId="31" xfId="40" applyFont="1" applyBorder="1" applyAlignment="1">
      <alignment/>
    </xf>
    <xf numFmtId="1" fontId="18" fillId="0" borderId="0" xfId="0" applyNumberFormat="1" applyFont="1" applyAlignment="1">
      <alignment horizontal="center"/>
    </xf>
    <xf numFmtId="0" fontId="19" fillId="0" borderId="0" xfId="54" applyFont="1" applyAlignment="1">
      <alignment horizontal="center"/>
      <protection/>
    </xf>
    <xf numFmtId="43" fontId="62" fillId="0" borderId="22" xfId="43" applyFont="1" applyFill="1" applyBorder="1" applyAlignment="1">
      <alignment horizontal="center" vertical="center" shrinkToFit="1"/>
    </xf>
    <xf numFmtId="43" fontId="62" fillId="0" borderId="21" xfId="43" applyFont="1" applyFill="1" applyBorder="1" applyAlignment="1">
      <alignment horizontal="center" vertical="center" shrinkToFit="1"/>
    </xf>
    <xf numFmtId="0" fontId="19" fillId="0" borderId="0" xfId="0" applyFont="1" applyAlignment="1">
      <alignment/>
    </xf>
    <xf numFmtId="0" fontId="18" fillId="0" borderId="18" xfId="0" applyFont="1" applyBorder="1" applyAlignment="1">
      <alignment vertical="top" wrapText="1"/>
    </xf>
    <xf numFmtId="43" fontId="18" fillId="0" borderId="18" xfId="40" applyFont="1" applyBorder="1" applyAlignment="1">
      <alignment vertical="top" wrapText="1"/>
    </xf>
    <xf numFmtId="49" fontId="27" fillId="0" borderId="18" xfId="55" applyNumberFormat="1" applyFont="1" applyBorder="1" applyAlignment="1">
      <alignment vertical="top" wrapText="1"/>
      <protection/>
    </xf>
    <xf numFmtId="43" fontId="18" fillId="0" borderId="18" xfId="44" applyFont="1" applyBorder="1" applyAlignment="1">
      <alignment vertical="top" wrapText="1"/>
    </xf>
    <xf numFmtId="43" fontId="18" fillId="0" borderId="18" xfId="40" applyFont="1" applyBorder="1" applyAlignment="1">
      <alignment vertical="top"/>
    </xf>
    <xf numFmtId="43" fontId="28" fillId="0" borderId="18" xfId="40" applyFont="1" applyBorder="1" applyAlignment="1">
      <alignment vertical="top" wrapText="1"/>
    </xf>
    <xf numFmtId="4" fontId="18" fillId="0" borderId="18" xfId="0" applyNumberFormat="1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43" fontId="18" fillId="0" borderId="24" xfId="40" applyFont="1" applyBorder="1" applyAlignment="1">
      <alignment vertical="top" wrapText="1"/>
    </xf>
    <xf numFmtId="49" fontId="27" fillId="0" borderId="24" xfId="55" applyNumberFormat="1" applyFont="1" applyBorder="1" applyAlignment="1">
      <alignment vertical="top" wrapText="1"/>
      <protection/>
    </xf>
    <xf numFmtId="43" fontId="18" fillId="0" borderId="24" xfId="44" applyFont="1" applyBorder="1" applyAlignment="1">
      <alignment vertical="top" wrapText="1"/>
    </xf>
    <xf numFmtId="4" fontId="18" fillId="0" borderId="11" xfId="0" applyNumberFormat="1" applyFont="1" applyBorder="1" applyAlignment="1">
      <alignment/>
    </xf>
    <xf numFmtId="0" fontId="18" fillId="0" borderId="18" xfId="0" applyFont="1" applyBorder="1" applyAlignment="1">
      <alignment/>
    </xf>
    <xf numFmtId="43" fontId="18" fillId="0" borderId="18" xfId="40" applyFont="1" applyBorder="1" applyAlignment="1">
      <alignment/>
    </xf>
    <xf numFmtId="0" fontId="18" fillId="0" borderId="24" xfId="0" applyFont="1" applyBorder="1" applyAlignment="1">
      <alignment/>
    </xf>
    <xf numFmtId="43" fontId="18" fillId="0" borderId="24" xfId="40" applyFont="1" applyBorder="1" applyAlignment="1">
      <alignment/>
    </xf>
    <xf numFmtId="43" fontId="28" fillId="0" borderId="24" xfId="40" applyFont="1" applyBorder="1" applyAlignment="1">
      <alignment/>
    </xf>
    <xf numFmtId="43" fontId="18" fillId="0" borderId="11" xfId="0" applyNumberFormat="1" applyFont="1" applyBorder="1" applyAlignment="1">
      <alignment/>
    </xf>
    <xf numFmtId="43" fontId="18" fillId="0" borderId="11" xfId="4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18" fillId="0" borderId="15" xfId="0" applyFont="1" applyBorder="1" applyAlignment="1">
      <alignment vertical="top" wrapText="1"/>
    </xf>
    <xf numFmtId="43" fontId="18" fillId="0" borderId="15" xfId="40" applyFont="1" applyBorder="1" applyAlignment="1">
      <alignment vertical="top" wrapText="1"/>
    </xf>
    <xf numFmtId="49" fontId="27" fillId="0" borderId="15" xfId="55" applyNumberFormat="1" applyFont="1" applyBorder="1" applyAlignment="1">
      <alignment vertical="top" wrapText="1"/>
      <protection/>
    </xf>
    <xf numFmtId="4" fontId="18" fillId="0" borderId="11" xfId="0" applyNumberFormat="1" applyFont="1" applyBorder="1" applyAlignment="1">
      <alignment horizontal="center"/>
    </xf>
    <xf numFmtId="0" fontId="42" fillId="0" borderId="0" xfId="54" applyFont="1" applyAlignment="1">
      <alignment horizontal="center"/>
      <protection/>
    </xf>
    <xf numFmtId="0" fontId="19" fillId="0" borderId="0" xfId="54" applyFont="1">
      <alignment/>
      <protection/>
    </xf>
    <xf numFmtId="43" fontId="19" fillId="0" borderId="30" xfId="43" applyFont="1" applyBorder="1" applyAlignment="1">
      <alignment/>
    </xf>
    <xf numFmtId="43" fontId="19" fillId="0" borderId="0" xfId="43" applyFont="1" applyAlignment="1">
      <alignment/>
    </xf>
    <xf numFmtId="0" fontId="19" fillId="0" borderId="0" xfId="54" applyFont="1" applyAlignment="1">
      <alignment horizontal="left"/>
      <protection/>
    </xf>
    <xf numFmtId="43" fontId="42" fillId="0" borderId="0" xfId="43" applyFont="1" applyBorder="1" applyAlignment="1">
      <alignment/>
    </xf>
    <xf numFmtId="43" fontId="18" fillId="0" borderId="0" xfId="43" applyFont="1" applyAlignment="1">
      <alignment/>
    </xf>
    <xf numFmtId="43" fontId="19" fillId="0" borderId="0" xfId="43" applyFont="1" applyAlignment="1">
      <alignment horizontal="center"/>
    </xf>
    <xf numFmtId="43" fontId="18" fillId="0" borderId="42" xfId="43" applyFont="1" applyBorder="1" applyAlignment="1">
      <alignment/>
    </xf>
    <xf numFmtId="0" fontId="35" fillId="0" borderId="0" xfId="54" applyFont="1">
      <alignment/>
      <protection/>
    </xf>
    <xf numFmtId="43" fontId="35" fillId="0" borderId="0" xfId="43" applyFont="1" applyAlignment="1">
      <alignment/>
    </xf>
    <xf numFmtId="43" fontId="19" fillId="0" borderId="31" xfId="43" applyFont="1" applyBorder="1" applyAlignment="1">
      <alignment/>
    </xf>
    <xf numFmtId="43" fontId="18" fillId="0" borderId="0" xfId="43" applyFont="1" applyBorder="1" applyAlignment="1">
      <alignment/>
    </xf>
    <xf numFmtId="43" fontId="62" fillId="0" borderId="22" xfId="43" applyFont="1" applyFill="1" applyBorder="1" applyAlignment="1">
      <alignment horizontal="center" vertical="center" shrinkToFit="1"/>
    </xf>
    <xf numFmtId="43" fontId="62" fillId="0" borderId="21" xfId="43" applyFont="1" applyFill="1" applyBorder="1" applyAlignment="1">
      <alignment horizontal="center" vertical="center" shrinkToFit="1"/>
    </xf>
    <xf numFmtId="43" fontId="61" fillId="0" borderId="30" xfId="43" applyFont="1" applyBorder="1" applyAlignment="1">
      <alignment/>
    </xf>
    <xf numFmtId="43" fontId="61" fillId="0" borderId="31" xfId="54" applyNumberFormat="1" applyFont="1" applyBorder="1">
      <alignment/>
      <protection/>
    </xf>
    <xf numFmtId="43" fontId="62" fillId="0" borderId="0" xfId="43" applyFont="1" applyFill="1" applyBorder="1" applyAlignment="1">
      <alignment/>
    </xf>
    <xf numFmtId="43" fontId="62" fillId="0" borderId="0" xfId="43" applyFont="1" applyFill="1" applyBorder="1" applyAlignment="1">
      <alignment horizontal="center"/>
    </xf>
    <xf numFmtId="43" fontId="66" fillId="0" borderId="0" xfId="43" applyFont="1" applyAlignment="1">
      <alignment/>
    </xf>
    <xf numFmtId="43" fontId="66" fillId="0" borderId="0" xfId="43" applyFont="1" applyFill="1" applyAlignment="1">
      <alignment/>
    </xf>
    <xf numFmtId="43" fontId="66" fillId="0" borderId="0" xfId="43" applyFont="1" applyFill="1" applyBorder="1" applyAlignment="1">
      <alignment/>
    </xf>
    <xf numFmtId="49" fontId="66" fillId="0" borderId="0" xfId="43" applyNumberFormat="1" applyFont="1" applyAlignment="1">
      <alignment/>
    </xf>
    <xf numFmtId="43" fontId="67" fillId="0" borderId="0" xfId="40" applyFont="1" applyBorder="1" applyAlignment="1">
      <alignment horizontal="right"/>
    </xf>
    <xf numFmtId="43" fontId="19" fillId="0" borderId="31" xfId="54" applyNumberFormat="1" applyFont="1" applyBorder="1">
      <alignment/>
      <protection/>
    </xf>
    <xf numFmtId="0" fontId="18" fillId="0" borderId="18" xfId="54" applyFont="1" applyBorder="1" applyAlignment="1">
      <alignment vertical="top" wrapText="1"/>
      <protection/>
    </xf>
    <xf numFmtId="43" fontId="18" fillId="0" borderId="18" xfId="43" applyFont="1" applyBorder="1" applyAlignment="1">
      <alignment vertical="top" wrapText="1"/>
    </xf>
    <xf numFmtId="0" fontId="18" fillId="0" borderId="15" xfId="54" applyFont="1" applyBorder="1" applyAlignment="1">
      <alignment vertical="top" wrapText="1"/>
      <protection/>
    </xf>
    <xf numFmtId="43" fontId="18" fillId="0" borderId="15" xfId="43" applyFont="1" applyBorder="1" applyAlignment="1">
      <alignment vertical="top" wrapText="1"/>
    </xf>
    <xf numFmtId="0" fontId="18" fillId="0" borderId="11" xfId="54" applyFont="1" applyBorder="1" applyAlignment="1">
      <alignment horizontal="center" vertical="top" wrapText="1"/>
      <protection/>
    </xf>
    <xf numFmtId="43" fontId="18" fillId="0" borderId="11" xfId="43" applyFont="1" applyBorder="1" applyAlignment="1">
      <alignment horizontal="center" vertical="top" wrapText="1"/>
    </xf>
    <xf numFmtId="0" fontId="18" fillId="0" borderId="24" xfId="54" applyFont="1" applyBorder="1" applyAlignment="1">
      <alignment vertical="top" wrapText="1"/>
      <protection/>
    </xf>
    <xf numFmtId="43" fontId="18" fillId="0" borderId="24" xfId="43" applyFont="1" applyBorder="1" applyAlignment="1">
      <alignment vertical="top" wrapText="1"/>
    </xf>
    <xf numFmtId="43" fontId="18" fillId="0" borderId="11" xfId="40" applyFont="1" applyBorder="1" applyAlignment="1">
      <alignment/>
    </xf>
    <xf numFmtId="3" fontId="18" fillId="0" borderId="11" xfId="0" applyNumberFormat="1" applyFont="1" applyBorder="1" applyAlignment="1">
      <alignment horizontal="center"/>
    </xf>
    <xf numFmtId="43" fontId="18" fillId="0" borderId="26" xfId="40" applyFont="1" applyBorder="1" applyAlignment="1">
      <alignment/>
    </xf>
    <xf numFmtId="43" fontId="18" fillId="0" borderId="41" xfId="40" applyFont="1" applyBorder="1" applyAlignment="1">
      <alignment/>
    </xf>
    <xf numFmtId="43" fontId="18" fillId="0" borderId="23" xfId="40" applyFont="1" applyBorder="1" applyAlignment="1">
      <alignment/>
    </xf>
    <xf numFmtId="43" fontId="18" fillId="0" borderId="27" xfId="40" applyFont="1" applyBorder="1" applyAlignment="1">
      <alignment/>
    </xf>
    <xf numFmtId="43" fontId="18" fillId="0" borderId="0" xfId="40" applyFont="1" applyBorder="1" applyAlignment="1">
      <alignment/>
    </xf>
    <xf numFmtId="43" fontId="18" fillId="0" borderId="12" xfId="40" applyFont="1" applyBorder="1" applyAlignment="1">
      <alignment/>
    </xf>
    <xf numFmtId="43" fontId="18" fillId="0" borderId="20" xfId="40" applyFont="1" applyBorder="1" applyAlignment="1">
      <alignment/>
    </xf>
    <xf numFmtId="43" fontId="18" fillId="0" borderId="42" xfId="40" applyFont="1" applyBorder="1" applyAlignment="1">
      <alignment/>
    </xf>
    <xf numFmtId="43" fontId="18" fillId="0" borderId="19" xfId="40" applyFont="1" applyBorder="1" applyAlignment="1">
      <alignment/>
    </xf>
    <xf numFmtId="3" fontId="19" fillId="0" borderId="11" xfId="0" applyNumberFormat="1" applyFont="1" applyBorder="1" applyAlignment="1">
      <alignment horizontal="center"/>
    </xf>
    <xf numFmtId="43" fontId="19" fillId="0" borderId="11" xfId="4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43" fontId="18" fillId="0" borderId="11" xfId="40" applyFont="1" applyBorder="1" applyAlignment="1">
      <alignment horizontal="left" vertical="center"/>
    </xf>
    <xf numFmtId="43" fontId="18" fillId="0" borderId="11" xfId="40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vertical="top"/>
    </xf>
    <xf numFmtId="43" fontId="18" fillId="0" borderId="15" xfId="40" applyFont="1" applyBorder="1" applyAlignment="1">
      <alignment vertical="top"/>
    </xf>
    <xf numFmtId="43" fontId="28" fillId="0" borderId="15" xfId="40" applyFont="1" applyBorder="1" applyAlignment="1">
      <alignment vertical="top"/>
    </xf>
    <xf numFmtId="0" fontId="18" fillId="0" borderId="11" xfId="54" applyFont="1" applyBorder="1" applyAlignment="1">
      <alignment horizontal="center"/>
      <protection/>
    </xf>
    <xf numFmtId="0" fontId="18" fillId="0" borderId="0" xfId="54" applyFont="1" applyFill="1" applyBorder="1">
      <alignment/>
      <protection/>
    </xf>
    <xf numFmtId="0" fontId="31" fillId="0" borderId="11" xfId="54" applyFont="1" applyFill="1" applyBorder="1" applyAlignment="1">
      <alignment horizontal="center" vertical="top" wrapText="1"/>
      <protection/>
    </xf>
    <xf numFmtId="0" fontId="19" fillId="0" borderId="11" xfId="54" applyFont="1" applyFill="1" applyBorder="1" applyAlignment="1">
      <alignment horizontal="center" vertical="top" wrapText="1"/>
      <protection/>
    </xf>
    <xf numFmtId="0" fontId="18" fillId="0" borderId="11" xfId="54" applyFont="1" applyFill="1" applyBorder="1" applyAlignment="1">
      <alignment horizontal="center" vertical="top" wrapText="1"/>
      <protection/>
    </xf>
    <xf numFmtId="0" fontId="18" fillId="0" borderId="11" xfId="54" applyFont="1" applyFill="1" applyBorder="1">
      <alignment/>
      <protection/>
    </xf>
    <xf numFmtId="0" fontId="19" fillId="0" borderId="28" xfId="54" applyFont="1" applyFill="1" applyBorder="1" applyAlignment="1">
      <alignment horizontal="center" vertical="top" wrapText="1"/>
      <protection/>
    </xf>
    <xf numFmtId="3" fontId="19" fillId="18" borderId="11" xfId="54" applyNumberFormat="1" applyFont="1" applyFill="1" applyBorder="1" applyAlignment="1">
      <alignment horizontal="center" vertical="top" wrapText="1"/>
      <protection/>
    </xf>
    <xf numFmtId="15" fontId="18" fillId="0" borderId="11" xfId="54" applyNumberFormat="1" applyFont="1" applyFill="1" applyBorder="1" applyAlignment="1">
      <alignment horizontal="center" vertical="top" wrapText="1"/>
      <protection/>
    </xf>
    <xf numFmtId="3" fontId="18" fillId="0" borderId="11" xfId="54" applyNumberFormat="1" applyFont="1" applyFill="1" applyBorder="1" applyAlignment="1">
      <alignment horizontal="center" vertical="top" wrapText="1"/>
      <protection/>
    </xf>
    <xf numFmtId="3" fontId="19" fillId="0" borderId="11" xfId="54" applyNumberFormat="1" applyFont="1" applyFill="1" applyBorder="1" applyAlignment="1">
      <alignment horizontal="center" vertical="top" wrapText="1"/>
      <protection/>
    </xf>
    <xf numFmtId="0" fontId="18" fillId="0" borderId="29" xfId="54" applyFont="1" applyFill="1" applyBorder="1" applyAlignment="1">
      <alignment horizontal="center" vertical="top" wrapText="1"/>
      <protection/>
    </xf>
    <xf numFmtId="3" fontId="19" fillId="18" borderId="30" xfId="54" applyNumberFormat="1" applyFont="1" applyFill="1" applyBorder="1" applyAlignment="1">
      <alignment horizontal="center" vertical="top" wrapText="1"/>
      <protection/>
    </xf>
    <xf numFmtId="0" fontId="26" fillId="0" borderId="11" xfId="54" applyFont="1" applyFill="1" applyBorder="1">
      <alignment/>
      <protection/>
    </xf>
    <xf numFmtId="3" fontId="19" fillId="19" borderId="11" xfId="54" applyNumberFormat="1" applyFont="1" applyFill="1" applyBorder="1" applyAlignment="1">
      <alignment horizontal="center" vertical="top" wrapText="1"/>
      <protection/>
    </xf>
    <xf numFmtId="43" fontId="18" fillId="0" borderId="0" xfId="43" applyFont="1" applyFill="1" applyBorder="1" applyAlignment="1">
      <alignment/>
    </xf>
    <xf numFmtId="0" fontId="18" fillId="0" borderId="21" xfId="54" applyFont="1" applyFill="1" applyBorder="1" applyAlignment="1">
      <alignment horizontal="center" vertical="top" wrapText="1"/>
      <protection/>
    </xf>
    <xf numFmtId="0" fontId="19" fillId="0" borderId="21" xfId="54" applyFont="1" applyFill="1" applyBorder="1" applyAlignment="1">
      <alignment horizontal="center" vertical="top" wrapText="1"/>
      <protection/>
    </xf>
    <xf numFmtId="0" fontId="18" fillId="0" borderId="21" xfId="54" applyFont="1" applyFill="1" applyBorder="1">
      <alignment/>
      <protection/>
    </xf>
    <xf numFmtId="0" fontId="18" fillId="0" borderId="11" xfId="54" applyFont="1" applyFill="1" applyBorder="1" applyAlignment="1">
      <alignment vertical="top" wrapText="1"/>
      <protection/>
    </xf>
    <xf numFmtId="3" fontId="18" fillId="20" borderId="11" xfId="54" applyNumberFormat="1" applyFont="1" applyFill="1" applyBorder="1" applyAlignment="1">
      <alignment horizontal="center" vertical="top" wrapText="1"/>
      <protection/>
    </xf>
    <xf numFmtId="0" fontId="18" fillId="20" borderId="11" xfId="54" applyFont="1" applyFill="1" applyBorder="1">
      <alignment/>
      <protection/>
    </xf>
    <xf numFmtId="0" fontId="18" fillId="0" borderId="11" xfId="54" applyFont="1" applyFill="1" applyBorder="1" applyAlignment="1">
      <alignment horizontal="justify" vertical="top" wrapText="1"/>
      <protection/>
    </xf>
    <xf numFmtId="0" fontId="18" fillId="0" borderId="22" xfId="54" applyFont="1" applyFill="1" applyBorder="1" applyAlignment="1">
      <alignment horizontal="left" vertical="center"/>
      <protection/>
    </xf>
    <xf numFmtId="15" fontId="18" fillId="0" borderId="22" xfId="54" applyNumberFormat="1" applyFont="1" applyFill="1" applyBorder="1" applyAlignment="1">
      <alignment horizontal="center" vertical="center"/>
      <protection/>
    </xf>
    <xf numFmtId="3" fontId="18" fillId="20" borderId="22" xfId="54" applyNumberFormat="1" applyFont="1" applyFill="1" applyBorder="1" applyAlignment="1">
      <alignment horizontal="center" vertical="center"/>
      <protection/>
    </xf>
    <xf numFmtId="0" fontId="18" fillId="0" borderId="22" xfId="54" applyFont="1" applyFill="1" applyBorder="1" applyAlignment="1">
      <alignment horizontal="center" vertical="center"/>
      <protection/>
    </xf>
    <xf numFmtId="0" fontId="43" fillId="0" borderId="11" xfId="54" applyFont="1" applyFill="1" applyBorder="1" applyAlignment="1">
      <alignment horizontal="center" vertical="center"/>
      <protection/>
    </xf>
    <xf numFmtId="0" fontId="18" fillId="20" borderId="22" xfId="54" applyFont="1" applyFill="1" applyBorder="1" applyAlignment="1">
      <alignment horizontal="center"/>
      <protection/>
    </xf>
    <xf numFmtId="0" fontId="28" fillId="0" borderId="11" xfId="54" applyFont="1" applyFill="1" applyBorder="1" applyAlignment="1">
      <alignment horizontal="center" vertical="top" wrapText="1"/>
      <protection/>
    </xf>
    <xf numFmtId="0" fontId="18" fillId="0" borderId="22" xfId="54" applyFont="1" applyFill="1" applyBorder="1" applyAlignment="1">
      <alignment vertical="top" wrapText="1"/>
      <protection/>
    </xf>
    <xf numFmtId="15" fontId="18" fillId="0" borderId="22" xfId="54" applyNumberFormat="1" applyFont="1" applyFill="1" applyBorder="1" applyAlignment="1">
      <alignment horizontal="center" vertical="top" wrapText="1"/>
      <protection/>
    </xf>
    <xf numFmtId="3" fontId="18" fillId="20" borderId="22" xfId="54" applyNumberFormat="1" applyFont="1" applyFill="1" applyBorder="1" applyAlignment="1">
      <alignment horizontal="center" vertical="top" wrapText="1"/>
      <protection/>
    </xf>
    <xf numFmtId="0" fontId="18" fillId="0" borderId="22" xfId="54" applyFont="1" applyFill="1" applyBorder="1" applyAlignment="1">
      <alignment horizontal="center" vertical="top" wrapText="1"/>
      <protection/>
    </xf>
    <xf numFmtId="0" fontId="18" fillId="20" borderId="22" xfId="54" applyFont="1" applyFill="1" applyBorder="1">
      <alignment/>
      <protection/>
    </xf>
    <xf numFmtId="200" fontId="18" fillId="0" borderId="0" xfId="54" applyNumberFormat="1" applyFont="1" applyFill="1" applyBorder="1">
      <alignment/>
      <protection/>
    </xf>
    <xf numFmtId="3" fontId="18" fillId="18" borderId="11" xfId="54" applyNumberFormat="1" applyFont="1" applyFill="1" applyBorder="1" applyAlignment="1">
      <alignment horizontal="center" vertical="top" wrapText="1"/>
      <protection/>
    </xf>
    <xf numFmtId="0" fontId="30" fillId="0" borderId="11" xfId="54" applyFont="1" applyFill="1" applyBorder="1" applyAlignment="1">
      <alignment horizontal="center" vertical="top" wrapText="1"/>
      <protection/>
    </xf>
    <xf numFmtId="0" fontId="18" fillId="20" borderId="11" xfId="54" applyFont="1" applyFill="1" applyBorder="1" applyAlignment="1">
      <alignment horizontal="center" vertical="top" wrapText="1"/>
      <protection/>
    </xf>
    <xf numFmtId="0" fontId="18" fillId="0" borderId="22" xfId="54" applyFont="1" applyFill="1" applyBorder="1" applyAlignment="1">
      <alignment horizontal="justify" vertical="top" wrapText="1"/>
      <protection/>
    </xf>
    <xf numFmtId="0" fontId="18" fillId="20" borderId="22" xfId="54" applyFont="1" applyFill="1" applyBorder="1" applyAlignment="1">
      <alignment horizontal="center" vertical="top" wrapText="1"/>
      <protection/>
    </xf>
    <xf numFmtId="3" fontId="18" fillId="0" borderId="0" xfId="54" applyNumberFormat="1" applyFont="1" applyFill="1" applyBorder="1">
      <alignment/>
      <protection/>
    </xf>
    <xf numFmtId="0" fontId="28" fillId="0" borderId="22" xfId="54" applyFont="1" applyFill="1" applyBorder="1" applyAlignment="1">
      <alignment horizontal="center" vertical="top" wrapText="1"/>
      <protection/>
    </xf>
    <xf numFmtId="0" fontId="18" fillId="0" borderId="11" xfId="54" applyFont="1" applyFill="1" applyBorder="1" applyAlignment="1">
      <alignment horizontal="center"/>
      <protection/>
    </xf>
    <xf numFmtId="0" fontId="18" fillId="0" borderId="11" xfId="54" applyFont="1" applyBorder="1">
      <alignment/>
      <protection/>
    </xf>
    <xf numFmtId="15" fontId="18" fillId="0" borderId="11" xfId="54" applyNumberFormat="1" applyFont="1" applyBorder="1" applyAlignment="1">
      <alignment horizontal="center"/>
      <protection/>
    </xf>
    <xf numFmtId="3" fontId="18" fillId="0" borderId="11" xfId="54" applyNumberFormat="1" applyFont="1" applyBorder="1" applyAlignment="1">
      <alignment horizontal="center" vertical="center"/>
      <protection/>
    </xf>
    <xf numFmtId="0" fontId="18" fillId="0" borderId="11" xfId="54" applyFont="1" applyFill="1" applyBorder="1" applyAlignment="1">
      <alignment horizontal="left" vertical="top" wrapText="1"/>
      <protection/>
    </xf>
    <xf numFmtId="3" fontId="26" fillId="0" borderId="11" xfId="54" applyNumberFormat="1" applyFont="1" applyFill="1" applyBorder="1" applyAlignment="1" quotePrefix="1">
      <alignment vertical="top" wrapText="1"/>
      <protection/>
    </xf>
    <xf numFmtId="0" fontId="28" fillId="0" borderId="11" xfId="54" applyFont="1" applyFill="1" applyBorder="1" applyAlignment="1">
      <alignment horizontal="justify" vertical="top" wrapText="1"/>
      <protection/>
    </xf>
    <xf numFmtId="0" fontId="28" fillId="20" borderId="11" xfId="54" applyFont="1" applyFill="1" applyBorder="1" applyAlignment="1">
      <alignment horizontal="justify" vertical="top" wrapText="1"/>
      <protection/>
    </xf>
    <xf numFmtId="0" fontId="18" fillId="20" borderId="11" xfId="54" applyFont="1" applyFill="1" applyBorder="1" applyAlignment="1">
      <alignment vertical="top" wrapText="1"/>
      <protection/>
    </xf>
    <xf numFmtId="3" fontId="19" fillId="21" borderId="11" xfId="54" applyNumberFormat="1" applyFont="1" applyFill="1" applyBorder="1" applyAlignment="1">
      <alignment horizontal="center" vertical="top" wrapText="1"/>
      <protection/>
    </xf>
    <xf numFmtId="0" fontId="18" fillId="0" borderId="0" xfId="54" applyFont="1" applyFill="1" applyBorder="1" applyAlignment="1">
      <alignment horizontal="center"/>
      <protection/>
    </xf>
    <xf numFmtId="3" fontId="18" fillId="0" borderId="0" xfId="54" applyNumberFormat="1" applyFont="1" applyFill="1">
      <alignment/>
      <protection/>
    </xf>
    <xf numFmtId="3" fontId="18" fillId="0" borderId="0" xfId="54" applyNumberFormat="1" applyFont="1" applyFill="1" applyBorder="1" applyAlignment="1">
      <alignment horizontal="center"/>
      <protection/>
    </xf>
    <xf numFmtId="43" fontId="18" fillId="20" borderId="11" xfId="40" applyFont="1" applyFill="1" applyBorder="1" applyAlignment="1">
      <alignment horizontal="center" vertical="top" wrapText="1"/>
    </xf>
    <xf numFmtId="0" fontId="68" fillId="0" borderId="11" xfId="54" applyFont="1" applyFill="1" applyBorder="1" applyAlignment="1">
      <alignment horizontal="center" vertical="top" wrapText="1"/>
      <protection/>
    </xf>
    <xf numFmtId="0" fontId="68" fillId="0" borderId="22" xfId="54" applyFont="1" applyFill="1" applyBorder="1" applyAlignment="1">
      <alignment horizontal="center" vertical="top" wrapText="1"/>
      <protection/>
    </xf>
    <xf numFmtId="43" fontId="19" fillId="0" borderId="11" xfId="43" applyFont="1" applyBorder="1" applyAlignment="1">
      <alignment/>
    </xf>
    <xf numFmtId="0" fontId="19" fillId="0" borderId="21" xfId="59" applyFont="1" applyBorder="1">
      <alignment/>
      <protection/>
    </xf>
    <xf numFmtId="0" fontId="19" fillId="0" borderId="0" xfId="59" applyFont="1">
      <alignment/>
      <protection/>
    </xf>
    <xf numFmtId="0" fontId="19" fillId="0" borderId="11" xfId="54" applyFont="1" applyFill="1" applyBorder="1" applyAlignment="1">
      <alignment vertical="top" wrapText="1"/>
      <protection/>
    </xf>
    <xf numFmtId="0" fontId="19" fillId="0" borderId="11" xfId="54" applyFont="1" applyFill="1" applyBorder="1" applyAlignment="1">
      <alignment horizontal="justify" vertical="top" wrapText="1"/>
      <protection/>
    </xf>
    <xf numFmtId="15" fontId="18" fillId="0" borderId="28" xfId="54" applyNumberFormat="1" applyFont="1" applyFill="1" applyBorder="1" applyAlignment="1">
      <alignment horizontal="center" vertical="top" wrapText="1"/>
      <protection/>
    </xf>
    <xf numFmtId="0" fontId="18" fillId="0" borderId="30" xfId="54" applyFont="1" applyFill="1" applyBorder="1" applyAlignment="1">
      <alignment horizontal="center" vertical="top" wrapText="1"/>
      <protection/>
    </xf>
    <xf numFmtId="0" fontId="18" fillId="0" borderId="28" xfId="54" applyFont="1" applyFill="1" applyBorder="1">
      <alignment/>
      <protection/>
    </xf>
    <xf numFmtId="0" fontId="28" fillId="0" borderId="11" xfId="54" applyFont="1" applyFill="1" applyBorder="1" applyAlignment="1">
      <alignment vertical="top" wrapText="1"/>
      <protection/>
    </xf>
    <xf numFmtId="0" fontId="28" fillId="20" borderId="11" xfId="54" applyFont="1" applyFill="1" applyBorder="1">
      <alignment/>
      <protection/>
    </xf>
    <xf numFmtId="0" fontId="18" fillId="20" borderId="11" xfId="54" applyFont="1" applyFill="1" applyBorder="1" quotePrefix="1">
      <alignment/>
      <protection/>
    </xf>
    <xf numFmtId="0" fontId="18" fillId="0" borderId="0" xfId="57" applyFont="1" applyAlignment="1">
      <alignment horizontal="center"/>
      <protection/>
    </xf>
    <xf numFmtId="0" fontId="44" fillId="0" borderId="0" xfId="57" applyFont="1" applyAlignment="1">
      <alignment/>
      <protection/>
    </xf>
    <xf numFmtId="0" fontId="18" fillId="0" borderId="0" xfId="57" applyFont="1">
      <alignment/>
      <protection/>
    </xf>
    <xf numFmtId="0" fontId="18" fillId="0" borderId="11" xfId="57" applyFont="1" applyBorder="1" applyAlignment="1">
      <alignment horizontal="center"/>
      <protection/>
    </xf>
    <xf numFmtId="200" fontId="18" fillId="0" borderId="11" xfId="46" applyNumberFormat="1" applyFont="1" applyBorder="1" applyAlignment="1">
      <alignment horizontal="center"/>
    </xf>
    <xf numFmtId="0" fontId="18" fillId="0" borderId="32" xfId="57" applyFont="1" applyBorder="1" applyAlignment="1">
      <alignment horizontal="center"/>
      <protection/>
    </xf>
    <xf numFmtId="0" fontId="18" fillId="0" borderId="32" xfId="57" applyFont="1" applyBorder="1">
      <alignment/>
      <protection/>
    </xf>
    <xf numFmtId="15" fontId="18" fillId="0" borderId="32" xfId="57" applyNumberFormat="1" applyFont="1" applyFill="1" applyBorder="1" applyAlignment="1">
      <alignment horizontal="center" wrapText="1"/>
      <protection/>
    </xf>
    <xf numFmtId="200" fontId="18" fillId="0" borderId="32" xfId="46" applyNumberFormat="1" applyFont="1" applyBorder="1" applyAlignment="1">
      <alignment/>
    </xf>
    <xf numFmtId="0" fontId="18" fillId="0" borderId="18" xfId="57" applyFont="1" applyBorder="1" applyAlignment="1">
      <alignment horizontal="center"/>
      <protection/>
    </xf>
    <xf numFmtId="0" fontId="18" fillId="0" borderId="18" xfId="57" applyFont="1" applyBorder="1">
      <alignment/>
      <protection/>
    </xf>
    <xf numFmtId="15" fontId="18" fillId="0" borderId="18" xfId="57" applyNumberFormat="1" applyFont="1" applyFill="1" applyBorder="1" applyAlignment="1">
      <alignment horizontal="center" wrapText="1"/>
      <protection/>
    </xf>
    <xf numFmtId="200" fontId="18" fillId="0" borderId="18" xfId="46" applyNumberFormat="1" applyFont="1" applyBorder="1" applyAlignment="1">
      <alignment/>
    </xf>
    <xf numFmtId="15" fontId="18" fillId="0" borderId="18" xfId="57" applyNumberFormat="1" applyFont="1" applyBorder="1">
      <alignment/>
      <protection/>
    </xf>
    <xf numFmtId="15" fontId="18" fillId="0" borderId="18" xfId="57" applyNumberFormat="1" applyFont="1" applyBorder="1" applyAlignment="1">
      <alignment horizontal="center"/>
      <protection/>
    </xf>
    <xf numFmtId="0" fontId="45" fillId="0" borderId="35" xfId="57" applyFont="1" applyBorder="1">
      <alignment/>
      <protection/>
    </xf>
    <xf numFmtId="43" fontId="18" fillId="0" borderId="18" xfId="46" applyNumberFormat="1" applyFont="1" applyBorder="1" applyAlignment="1">
      <alignment/>
    </xf>
    <xf numFmtId="0" fontId="18" fillId="0" borderId="25" xfId="57" applyFont="1" applyBorder="1" applyAlignment="1">
      <alignment horizontal="center"/>
      <protection/>
    </xf>
    <xf numFmtId="0" fontId="18" fillId="0" borderId="25" xfId="57" applyFont="1" applyBorder="1">
      <alignment/>
      <protection/>
    </xf>
    <xf numFmtId="15" fontId="18" fillId="0" borderId="25" xfId="57" applyNumberFormat="1" applyFont="1" applyBorder="1">
      <alignment/>
      <protection/>
    </xf>
    <xf numFmtId="200" fontId="18" fillId="0" borderId="25" xfId="46" applyNumberFormat="1" applyFont="1" applyBorder="1" applyAlignment="1">
      <alignment/>
    </xf>
    <xf numFmtId="200" fontId="18" fillId="0" borderId="24" xfId="46" applyNumberFormat="1" applyFont="1" applyBorder="1" applyAlignment="1">
      <alignment/>
    </xf>
    <xf numFmtId="0" fontId="18" fillId="0" borderId="21" xfId="57" applyFont="1" applyBorder="1" applyAlignment="1">
      <alignment horizontal="center"/>
      <protection/>
    </xf>
    <xf numFmtId="43" fontId="18" fillId="0" borderId="21" xfId="46" applyNumberFormat="1" applyFont="1" applyBorder="1" applyAlignment="1">
      <alignment/>
    </xf>
    <xf numFmtId="200" fontId="18" fillId="0" borderId="11" xfId="46" applyNumberFormat="1" applyFont="1" applyBorder="1" applyAlignment="1">
      <alignment/>
    </xf>
    <xf numFmtId="43" fontId="18" fillId="0" borderId="0" xfId="46" applyNumberFormat="1" applyFont="1" applyAlignment="1">
      <alignment/>
    </xf>
    <xf numFmtId="200" fontId="18" fillId="0" borderId="0" xfId="46" applyNumberFormat="1" applyFont="1" applyAlignment="1">
      <alignment/>
    </xf>
    <xf numFmtId="0" fontId="68" fillId="0" borderId="11" xfId="54" applyFont="1" applyFill="1" applyBorder="1">
      <alignment/>
      <protection/>
    </xf>
    <xf numFmtId="0" fontId="69" fillId="20" borderId="11" xfId="54" applyFont="1" applyFill="1" applyBorder="1">
      <alignment/>
      <protection/>
    </xf>
    <xf numFmtId="0" fontId="69" fillId="0" borderId="11" xfId="54" applyFont="1" applyFill="1" applyBorder="1" applyAlignment="1">
      <alignment horizontal="right"/>
      <protection/>
    </xf>
    <xf numFmtId="3" fontId="70" fillId="0" borderId="11" xfId="54" applyNumberFormat="1" applyFont="1" applyFill="1" applyBorder="1" applyAlignment="1">
      <alignment horizontal="right"/>
      <protection/>
    </xf>
    <xf numFmtId="0" fontId="69" fillId="0" borderId="11" xfId="54" applyFont="1" applyFill="1" applyBorder="1" applyAlignment="1">
      <alignment horizontal="left" vertical="top" wrapText="1"/>
      <protection/>
    </xf>
    <xf numFmtId="0" fontId="19" fillId="0" borderId="11" xfId="54" applyFont="1" applyBorder="1" applyAlignment="1">
      <alignment horizontal="center"/>
      <protection/>
    </xf>
    <xf numFmtId="200" fontId="19" fillId="0" borderId="11" xfId="43" applyNumberFormat="1" applyFont="1" applyBorder="1" applyAlignment="1">
      <alignment horizontal="center"/>
    </xf>
    <xf numFmtId="200" fontId="18" fillId="0" borderId="11" xfId="43" applyNumberFormat="1" applyFont="1" applyBorder="1" applyAlignment="1">
      <alignment horizontal="center"/>
    </xf>
    <xf numFmtId="0" fontId="19" fillId="0" borderId="11" xfId="54" applyFont="1" applyBorder="1">
      <alignment/>
      <protection/>
    </xf>
    <xf numFmtId="200" fontId="18" fillId="0" borderId="0" xfId="54" applyNumberFormat="1" applyFont="1">
      <alignment/>
      <protection/>
    </xf>
    <xf numFmtId="200" fontId="18" fillId="20" borderId="11" xfId="43" applyNumberFormat="1" applyFont="1" applyFill="1" applyBorder="1" applyAlignment="1">
      <alignment horizontal="center"/>
    </xf>
    <xf numFmtId="200" fontId="19" fillId="0" borderId="0" xfId="54" applyNumberFormat="1" applyFont="1">
      <alignment/>
      <protection/>
    </xf>
    <xf numFmtId="200" fontId="18" fillId="0" borderId="0" xfId="43" applyNumberFormat="1" applyFont="1" applyAlignment="1">
      <alignment horizontal="center"/>
    </xf>
    <xf numFmtId="0" fontId="19" fillId="0" borderId="42" xfId="54" applyFont="1" applyBorder="1" applyAlignment="1">
      <alignment horizontal="center"/>
      <protection/>
    </xf>
    <xf numFmtId="0" fontId="46" fillId="0" borderId="42" xfId="54" applyFont="1" applyBorder="1" applyAlignment="1">
      <alignment horizontal="center"/>
      <protection/>
    </xf>
    <xf numFmtId="43" fontId="71" fillId="0" borderId="0" xfId="40" applyFont="1" applyAlignment="1">
      <alignment/>
    </xf>
    <xf numFmtId="0" fontId="71" fillId="0" borderId="0" xfId="0" applyFont="1" applyAlignment="1">
      <alignment/>
    </xf>
    <xf numFmtId="43" fontId="71" fillId="0" borderId="0" xfId="40" applyFont="1" applyAlignment="1">
      <alignment vertical="center"/>
    </xf>
    <xf numFmtId="4" fontId="71" fillId="0" borderId="0" xfId="0" applyNumberFormat="1" applyFont="1" applyAlignment="1">
      <alignment vertical="center"/>
    </xf>
    <xf numFmtId="43" fontId="72" fillId="0" borderId="0" xfId="40" applyFont="1" applyAlignment="1">
      <alignment vertical="center"/>
    </xf>
    <xf numFmtId="0" fontId="7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4" fontId="72" fillId="0" borderId="0" xfId="40" applyNumberFormat="1" applyFont="1" applyBorder="1" applyAlignment="1">
      <alignment vertical="center"/>
    </xf>
    <xf numFmtId="0" fontId="25" fillId="0" borderId="29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1" fillId="0" borderId="29" xfId="58" applyFont="1" applyFill="1" applyBorder="1" applyAlignment="1">
      <alignment horizontal="center"/>
      <protection/>
    </xf>
    <xf numFmtId="0" fontId="31" fillId="0" borderId="28" xfId="58" applyFont="1" applyFill="1" applyBorder="1" applyAlignment="1" quotePrefix="1">
      <alignment horizontal="center"/>
      <protection/>
    </xf>
    <xf numFmtId="0" fontId="28" fillId="0" borderId="29" xfId="58" applyFont="1" applyFill="1" applyBorder="1" applyAlignment="1">
      <alignment horizontal="center"/>
      <protection/>
    </xf>
    <xf numFmtId="0" fontId="28" fillId="0" borderId="28" xfId="58" applyFont="1" applyFill="1" applyBorder="1" applyAlignment="1" quotePrefix="1">
      <alignment horizontal="center"/>
      <protection/>
    </xf>
    <xf numFmtId="0" fontId="19" fillId="0" borderId="29" xfId="58" applyFont="1" applyBorder="1" applyAlignment="1">
      <alignment horizontal="center"/>
      <protection/>
    </xf>
    <xf numFmtId="0" fontId="19" fillId="0" borderId="28" xfId="58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55" applyFont="1" applyAlignment="1">
      <alignment horizontal="center"/>
      <protection/>
    </xf>
    <xf numFmtId="43" fontId="34" fillId="0" borderId="11" xfId="44" applyFont="1" applyBorder="1" applyAlignment="1">
      <alignment horizontal="center"/>
    </xf>
    <xf numFmtId="0" fontId="28" fillId="0" borderId="11" xfId="55" applyFont="1" applyBorder="1" applyAlignment="1">
      <alignment horizontal="center" vertical="center"/>
      <protection/>
    </xf>
    <xf numFmtId="0" fontId="18" fillId="0" borderId="11" xfId="55" applyFont="1" applyBorder="1" applyAlignment="1">
      <alignment horizontal="center" vertical="center"/>
      <protection/>
    </xf>
    <xf numFmtId="0" fontId="18" fillId="0" borderId="0" xfId="57" applyFont="1" applyAlignment="1">
      <alignment horizontal="center"/>
      <protection/>
    </xf>
    <xf numFmtId="0" fontId="44" fillId="0" borderId="0" xfId="57" applyFont="1" applyAlignment="1">
      <alignment/>
      <protection/>
    </xf>
    <xf numFmtId="0" fontId="18" fillId="0" borderId="21" xfId="57" applyFont="1" applyBorder="1" applyAlignment="1">
      <alignment horizontal="center"/>
      <protection/>
    </xf>
    <xf numFmtId="0" fontId="44" fillId="0" borderId="21" xfId="57" applyFont="1" applyBorder="1" applyAlignment="1">
      <alignment horizontal="center"/>
      <protection/>
    </xf>
    <xf numFmtId="0" fontId="19" fillId="0" borderId="0" xfId="54" applyFont="1" applyAlignment="1">
      <alignment horizontal="center"/>
      <protection/>
    </xf>
    <xf numFmtId="0" fontId="19" fillId="0" borderId="42" xfId="59" applyFont="1" applyBorder="1" applyAlignment="1">
      <alignment horizontal="center"/>
      <protection/>
    </xf>
    <xf numFmtId="0" fontId="19" fillId="0" borderId="19" xfId="59" applyFont="1" applyBorder="1" applyAlignment="1">
      <alignment horizontal="center"/>
      <protection/>
    </xf>
    <xf numFmtId="0" fontId="19" fillId="0" borderId="0" xfId="59" applyFont="1" applyAlignment="1">
      <alignment horizontal="center"/>
      <protection/>
    </xf>
    <xf numFmtId="0" fontId="18" fillId="0" borderId="28" xfId="59" applyFont="1" applyBorder="1" applyAlignment="1">
      <alignment horizontal="center" vertical="center"/>
      <protection/>
    </xf>
    <xf numFmtId="0" fontId="18" fillId="0" borderId="11" xfId="59" applyFont="1" applyBorder="1" applyAlignment="1">
      <alignment horizontal="center" vertical="center"/>
      <protection/>
    </xf>
    <xf numFmtId="43" fontId="18" fillId="0" borderId="11" xfId="43" applyFont="1" applyBorder="1" applyAlignment="1">
      <alignment horizontal="center" vertical="center"/>
    </xf>
    <xf numFmtId="0" fontId="18" fillId="0" borderId="11" xfId="59" applyFont="1" applyBorder="1" applyAlignment="1">
      <alignment horizontal="center"/>
      <protection/>
    </xf>
    <xf numFmtId="0" fontId="19" fillId="0" borderId="30" xfId="54" applyFont="1" applyFill="1" applyBorder="1" applyAlignment="1">
      <alignment horizontal="center" vertical="top" wrapText="1"/>
      <protection/>
    </xf>
    <xf numFmtId="0" fontId="19" fillId="0" borderId="28" xfId="54" applyFont="1" applyFill="1" applyBorder="1" applyAlignment="1">
      <alignment horizontal="center" vertical="top" wrapText="1"/>
      <protection/>
    </xf>
    <xf numFmtId="0" fontId="19" fillId="0" borderId="29" xfId="54" applyFont="1" applyFill="1" applyBorder="1" applyAlignment="1">
      <alignment horizontal="center" vertical="top" wrapText="1"/>
      <protection/>
    </xf>
    <xf numFmtId="0" fontId="19" fillId="0" borderId="11" xfId="54" applyFont="1" applyFill="1" applyBorder="1" applyAlignment="1">
      <alignment horizontal="center" vertical="top" wrapText="1"/>
      <protection/>
    </xf>
    <xf numFmtId="0" fontId="18" fillId="0" borderId="29" xfId="54" applyFont="1" applyFill="1" applyBorder="1" applyAlignment="1">
      <alignment horizontal="center" vertical="top" wrapText="1"/>
      <protection/>
    </xf>
    <xf numFmtId="0" fontId="18" fillId="0" borderId="28" xfId="54" applyFont="1" applyFill="1" applyBorder="1" applyAlignment="1">
      <alignment horizontal="center" vertical="top" wrapText="1"/>
      <protection/>
    </xf>
    <xf numFmtId="0" fontId="18" fillId="0" borderId="11" xfId="54" applyFont="1" applyFill="1" applyBorder="1" applyAlignment="1">
      <alignment vertical="top" wrapText="1"/>
      <protection/>
    </xf>
    <xf numFmtId="0" fontId="23" fillId="0" borderId="42" xfId="54" applyFont="1" applyFill="1" applyBorder="1" applyAlignment="1">
      <alignment horizontal="center"/>
      <protection/>
    </xf>
    <xf numFmtId="0" fontId="19" fillId="0" borderId="0" xfId="54" applyFont="1" applyBorder="1" applyAlignment="1">
      <alignment horizontal="center"/>
      <protection/>
    </xf>
    <xf numFmtId="0" fontId="46" fillId="0" borderId="0" xfId="54" applyFont="1" applyBorder="1" applyAlignment="1">
      <alignment horizontal="center"/>
      <protection/>
    </xf>
    <xf numFmtId="43" fontId="19" fillId="0" borderId="11" xfId="40" applyFont="1" applyBorder="1" applyAlignment="1">
      <alignment horizontal="center"/>
    </xf>
    <xf numFmtId="43" fontId="18" fillId="0" borderId="11" xfId="4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54" applyFont="1" applyBorder="1" applyAlignment="1">
      <alignment horizontal="center"/>
      <protection/>
    </xf>
    <xf numFmtId="43" fontId="62" fillId="0" borderId="29" xfId="43" applyFont="1" applyFill="1" applyBorder="1" applyAlignment="1">
      <alignment horizontal="center"/>
    </xf>
    <xf numFmtId="43" fontId="62" fillId="0" borderId="28" xfId="43" applyFont="1" applyFill="1" applyBorder="1" applyAlignment="1">
      <alignment horizontal="center"/>
    </xf>
    <xf numFmtId="43" fontId="62" fillId="0" borderId="22" xfId="43" applyFont="1" applyFill="1" applyBorder="1" applyAlignment="1">
      <alignment horizontal="center" vertical="center" shrinkToFit="1"/>
    </xf>
    <xf numFmtId="43" fontId="62" fillId="0" borderId="21" xfId="43" applyFont="1" applyFill="1" applyBorder="1" applyAlignment="1">
      <alignment horizontal="center" vertical="center" shrinkToFit="1"/>
    </xf>
    <xf numFmtId="43" fontId="61" fillId="0" borderId="0" xfId="43" applyFont="1" applyFill="1" applyAlignment="1">
      <alignment horizontal="center"/>
    </xf>
    <xf numFmtId="43" fontId="61" fillId="0" borderId="29" xfId="43" applyFont="1" applyFill="1" applyBorder="1" applyAlignment="1">
      <alignment horizontal="center"/>
    </xf>
    <xf numFmtId="43" fontId="61" fillId="0" borderId="30" xfId="43" applyFont="1" applyFill="1" applyBorder="1" applyAlignment="1">
      <alignment horizontal="center"/>
    </xf>
    <xf numFmtId="43" fontId="61" fillId="0" borderId="28" xfId="43" applyFont="1" applyFill="1" applyBorder="1" applyAlignment="1">
      <alignment horizontal="center"/>
    </xf>
    <xf numFmtId="43" fontId="62" fillId="0" borderId="26" xfId="43" applyFont="1" applyFill="1" applyBorder="1" applyAlignment="1">
      <alignment horizontal="center" vertical="center" shrinkToFit="1"/>
    </xf>
    <xf numFmtId="43" fontId="62" fillId="0" borderId="27" xfId="43" applyFont="1" applyFill="1" applyBorder="1" applyAlignment="1">
      <alignment horizontal="center" vertical="center" shrinkToFit="1"/>
    </xf>
    <xf numFmtId="43" fontId="62" fillId="0" borderId="20" xfId="43" applyFont="1" applyFill="1" applyBorder="1" applyAlignment="1">
      <alignment horizontal="center" vertical="center" shrinkToFit="1"/>
    </xf>
    <xf numFmtId="43" fontId="62" fillId="0" borderId="10" xfId="43" applyFont="1" applyFill="1" applyBorder="1" applyAlignment="1">
      <alignment horizontal="center" vertical="center" shrinkToFit="1"/>
    </xf>
    <xf numFmtId="0" fontId="64" fillId="0" borderId="21" xfId="60" applyFont="1" applyFill="1" applyBorder="1" applyAlignment="1">
      <alignment horizontal="center" vertical="center" shrinkToFit="1"/>
      <protection/>
    </xf>
    <xf numFmtId="49" fontId="60" fillId="0" borderId="0" xfId="43" applyNumberFormat="1" applyFont="1" applyAlignment="1">
      <alignment horizontal="left"/>
    </xf>
    <xf numFmtId="43" fontId="60" fillId="0" borderId="0" xfId="43" applyFont="1" applyAlignment="1">
      <alignment horizontal="left"/>
    </xf>
    <xf numFmtId="43" fontId="60" fillId="0" borderId="0" xfId="43" applyFont="1" applyAlignment="1">
      <alignment horizontal="center"/>
    </xf>
    <xf numFmtId="43" fontId="60" fillId="0" borderId="0" xfId="43" applyFont="1" applyFill="1" applyBorder="1" applyAlignment="1">
      <alignment horizontal="left"/>
    </xf>
    <xf numFmtId="49" fontId="60" fillId="0" borderId="0" xfId="43" applyNumberFormat="1" applyFont="1" applyAlignment="1">
      <alignment horizontal="center"/>
    </xf>
    <xf numFmtId="43" fontId="19" fillId="0" borderId="0" xfId="43" applyFont="1" applyFill="1" applyAlignment="1">
      <alignment horizontal="center"/>
    </xf>
    <xf numFmtId="43" fontId="31" fillId="0" borderId="22" xfId="43" applyFont="1" applyBorder="1" applyAlignment="1">
      <alignment horizontal="center" vertical="center" shrinkToFit="1"/>
    </xf>
    <xf numFmtId="43" fontId="31" fillId="0" borderId="21" xfId="43" applyFont="1" applyBorder="1" applyAlignment="1">
      <alignment horizontal="center" vertical="center" shrinkToFit="1"/>
    </xf>
    <xf numFmtId="0" fontId="28" fillId="0" borderId="21" xfId="60" applyFont="1" applyBorder="1" applyAlignment="1">
      <alignment horizontal="center" vertical="center" shrinkToFit="1"/>
      <protection/>
    </xf>
    <xf numFmtId="43" fontId="31" fillId="0" borderId="22" xfId="43" applyFont="1" applyFill="1" applyBorder="1" applyAlignment="1">
      <alignment horizontal="center" vertical="center"/>
    </xf>
    <xf numFmtId="43" fontId="31" fillId="0" borderId="21" xfId="43" applyFont="1" applyFill="1" applyBorder="1" applyAlignment="1">
      <alignment horizontal="center" vertical="center"/>
    </xf>
    <xf numFmtId="0" fontId="31" fillId="0" borderId="22" xfId="60" applyFont="1" applyFill="1" applyBorder="1" applyAlignment="1">
      <alignment horizontal="center" vertical="center"/>
      <protection/>
    </xf>
    <xf numFmtId="0" fontId="31" fillId="0" borderId="21" xfId="60" applyFont="1" applyFill="1" applyBorder="1" applyAlignment="1">
      <alignment horizontal="center" vertic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5" xfId="33"/>
    <cellStyle name="Followed Hyperlink" xfId="34"/>
    <cellStyle name="Hyperlink" xfId="35"/>
    <cellStyle name="Normal 5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เครื่องหมายจุลภาค 3" xfId="43"/>
    <cellStyle name="เครื่องหมายจุลภาค 3 2" xfId="44"/>
    <cellStyle name="เครื่องหมายจุลภาค 4" xfId="45"/>
    <cellStyle name="เครื่องหมายจุลภาค 5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" xfId="53"/>
    <cellStyle name="ปกติ 3" xfId="54"/>
    <cellStyle name="ปกติ 3 2" xfId="55"/>
    <cellStyle name="ปกติ 4" xfId="56"/>
    <cellStyle name="ปกติ 5" xfId="57"/>
    <cellStyle name="ปกติ_Sheet1" xfId="58"/>
    <cellStyle name="ปกติ_งบแสดงฐานะการเงิน  สตง" xfId="59"/>
    <cellStyle name="ปกติ_งบแสดงผลการดำเนินงาน 56" xfId="60"/>
    <cellStyle name="ปกติ_หมายเหตุ 1 รายรับจริง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5</xdr:row>
      <xdr:rowOff>0</xdr:rowOff>
    </xdr:from>
    <xdr:to>
      <xdr:col>4</xdr:col>
      <xdr:colOff>847725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5581650" y="1238250"/>
          <a:ext cx="0" cy="792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847725</xdr:colOff>
      <xdr:row>4</xdr:row>
      <xdr:rowOff>247650</xdr:rowOff>
    </xdr:from>
    <xdr:to>
      <xdr:col>5</xdr:col>
      <xdr:colOff>847725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6600825" y="1238250"/>
          <a:ext cx="0" cy="792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847725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65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847725</xdr:colOff>
      <xdr:row>0</xdr:row>
      <xdr:rowOff>0</xdr:rowOff>
    </xdr:from>
    <xdr:to>
      <xdr:col>6</xdr:col>
      <xdr:colOff>847725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0</xdr:rowOff>
    </xdr:from>
    <xdr:to>
      <xdr:col>6</xdr:col>
      <xdr:colOff>1190625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15125" y="0"/>
          <a:ext cx="8477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847725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7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847725</xdr:colOff>
      <xdr:row>0</xdr:row>
      <xdr:rowOff>0</xdr:rowOff>
    </xdr:from>
    <xdr:to>
      <xdr:col>6</xdr:col>
      <xdr:colOff>847725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52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847725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7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847725</xdr:colOff>
      <xdr:row>0</xdr:row>
      <xdr:rowOff>0</xdr:rowOff>
    </xdr:from>
    <xdr:to>
      <xdr:col>6</xdr:col>
      <xdr:colOff>847725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52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5</xdr:row>
      <xdr:rowOff>0</xdr:rowOff>
    </xdr:from>
    <xdr:to>
      <xdr:col>4</xdr:col>
      <xdr:colOff>857250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400175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847725</xdr:colOff>
      <xdr:row>4</xdr:row>
      <xdr:rowOff>266700</xdr:rowOff>
    </xdr:from>
    <xdr:to>
      <xdr:col>5</xdr:col>
      <xdr:colOff>847725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6600825" y="1371600"/>
          <a:ext cx="0" cy="652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847725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7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847725</xdr:colOff>
      <xdr:row>0</xdr:row>
      <xdr:rowOff>0</xdr:rowOff>
    </xdr:from>
    <xdr:to>
      <xdr:col>6</xdr:col>
      <xdr:colOff>847725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52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847725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847725</xdr:colOff>
      <xdr:row>0</xdr:row>
      <xdr:rowOff>0</xdr:rowOff>
    </xdr:from>
    <xdr:to>
      <xdr:col>6</xdr:col>
      <xdr:colOff>847725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08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847725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847725</xdr:colOff>
      <xdr:row>0</xdr:row>
      <xdr:rowOff>0</xdr:rowOff>
    </xdr:from>
    <xdr:to>
      <xdr:col>6</xdr:col>
      <xdr:colOff>847725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847725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5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838200</xdr:colOff>
      <xdr:row>0</xdr:row>
      <xdr:rowOff>0</xdr:rowOff>
    </xdr:from>
    <xdr:to>
      <xdr:col>6</xdr:col>
      <xdr:colOff>838200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6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59"/>
  <sheetViews>
    <sheetView zoomScalePageLayoutView="0" workbookViewId="0" topLeftCell="A1">
      <selection activeCell="N17" sqref="N17"/>
    </sheetView>
  </sheetViews>
  <sheetFormatPr defaultColWidth="9.140625" defaultRowHeight="21.75"/>
  <cols>
    <col min="1" max="1" width="1.7109375" style="7" customWidth="1"/>
    <col min="2" max="2" width="5.421875" style="7" customWidth="1"/>
    <col min="3" max="3" width="54.00390625" style="7" customWidth="1"/>
    <col min="4" max="4" width="9.8515625" style="7" customWidth="1"/>
    <col min="5" max="6" width="15.28125" style="6" customWidth="1"/>
    <col min="7" max="7" width="12.8515625" style="537" customWidth="1"/>
    <col min="8" max="8" width="10.8515625" style="538" customWidth="1"/>
    <col min="9" max="9" width="12.7109375" style="538" bestFit="1" customWidth="1"/>
    <col min="10" max="11" width="12.421875" style="7" bestFit="1" customWidth="1"/>
    <col min="12" max="16384" width="9.140625" style="7" customWidth="1"/>
  </cols>
  <sheetData>
    <row r="1" spans="1:9" s="3" customFormat="1" ht="19.5">
      <c r="A1" s="547" t="s">
        <v>0</v>
      </c>
      <c r="B1" s="547"/>
      <c r="C1" s="547"/>
      <c r="D1" s="547"/>
      <c r="E1" s="547"/>
      <c r="F1" s="547"/>
      <c r="G1" s="537"/>
      <c r="H1" s="538"/>
      <c r="I1" s="538"/>
    </row>
    <row r="2" spans="1:9" s="3" customFormat="1" ht="19.5">
      <c r="A2" s="548" t="s">
        <v>194</v>
      </c>
      <c r="B2" s="548"/>
      <c r="C2" s="548"/>
      <c r="D2" s="548"/>
      <c r="E2" s="548"/>
      <c r="F2" s="548"/>
      <c r="G2" s="537"/>
      <c r="H2" s="538"/>
      <c r="I2" s="538"/>
    </row>
    <row r="3" spans="1:9" s="3" customFormat="1" ht="19.5">
      <c r="A3" s="549" t="s">
        <v>156</v>
      </c>
      <c r="B3" s="549"/>
      <c r="C3" s="549"/>
      <c r="D3" s="549"/>
      <c r="E3" s="549"/>
      <c r="F3" s="549"/>
      <c r="G3" s="537"/>
      <c r="H3" s="538"/>
      <c r="I3" s="538"/>
    </row>
    <row r="4" spans="1:9" s="3" customFormat="1" ht="19.5">
      <c r="A4" s="153"/>
      <c r="B4" s="153"/>
      <c r="C4" s="153"/>
      <c r="D4" s="153"/>
      <c r="E4" s="153"/>
      <c r="F4" s="153"/>
      <c r="G4" s="537"/>
      <c r="H4" s="538"/>
      <c r="I4" s="538"/>
    </row>
    <row r="5" spans="2:9" s="3" customFormat="1" ht="19.5">
      <c r="B5" s="545" t="s">
        <v>2</v>
      </c>
      <c r="C5" s="546"/>
      <c r="D5" s="108" t="s">
        <v>3</v>
      </c>
      <c r="E5" s="109" t="s">
        <v>4</v>
      </c>
      <c r="F5" s="109" t="s">
        <v>5</v>
      </c>
      <c r="G5" s="537"/>
      <c r="H5" s="538"/>
      <c r="I5" s="538"/>
    </row>
    <row r="6" spans="2:9" s="110" customFormat="1" ht="19.5">
      <c r="B6" s="4" t="s">
        <v>6</v>
      </c>
      <c r="C6" s="4"/>
      <c r="D6" s="112">
        <v>111201</v>
      </c>
      <c r="E6" s="107">
        <v>8013185.72</v>
      </c>
      <c r="F6" s="107"/>
      <c r="G6" s="539"/>
      <c r="H6" s="540"/>
      <c r="I6" s="540"/>
    </row>
    <row r="7" spans="2:9" s="110" customFormat="1" ht="19.5">
      <c r="B7" s="4" t="s">
        <v>149</v>
      </c>
      <c r="C7" s="111"/>
      <c r="D7" s="112">
        <v>111201</v>
      </c>
      <c r="E7" s="107">
        <v>3.71</v>
      </c>
      <c r="F7" s="107"/>
      <c r="G7" s="539"/>
      <c r="H7" s="540"/>
      <c r="I7" s="540"/>
    </row>
    <row r="8" spans="2:9" s="110" customFormat="1" ht="19.5">
      <c r="B8" s="4" t="s">
        <v>7</v>
      </c>
      <c r="C8" s="4"/>
      <c r="D8" s="112">
        <v>111201</v>
      </c>
      <c r="E8" s="140">
        <v>26244489.66</v>
      </c>
      <c r="F8" s="107"/>
      <c r="G8" s="539"/>
      <c r="H8" s="540"/>
      <c r="I8" s="540"/>
    </row>
    <row r="9" spans="2:9" s="110" customFormat="1" ht="19.5">
      <c r="B9" s="4" t="s">
        <v>8</v>
      </c>
      <c r="C9" s="111"/>
      <c r="D9" s="112">
        <v>111202</v>
      </c>
      <c r="E9" s="140">
        <v>1202745.29</v>
      </c>
      <c r="F9" s="107"/>
      <c r="G9" s="539"/>
      <c r="H9" s="540"/>
      <c r="I9" s="540"/>
    </row>
    <row r="10" spans="2:10" s="110" customFormat="1" ht="19.5">
      <c r="B10" s="4" t="s">
        <v>9</v>
      </c>
      <c r="C10" s="4"/>
      <c r="D10" s="112">
        <v>111202</v>
      </c>
      <c r="E10" s="140">
        <v>3358853.16</v>
      </c>
      <c r="F10" s="107"/>
      <c r="G10" s="541"/>
      <c r="H10" s="540"/>
      <c r="I10" s="539"/>
      <c r="J10" s="136"/>
    </row>
    <row r="11" spans="2:10" s="110" customFormat="1" ht="19.5">
      <c r="B11" s="4" t="s">
        <v>10</v>
      </c>
      <c r="C11" s="4"/>
      <c r="D11" s="112">
        <v>111202</v>
      </c>
      <c r="E11" s="140">
        <v>5516804.17</v>
      </c>
      <c r="F11" s="107"/>
      <c r="G11" s="539">
        <f>SUM(E6:E11)</f>
        <v>44336081.71000001</v>
      </c>
      <c r="H11" s="540"/>
      <c r="I11" s="540"/>
      <c r="J11" s="136"/>
    </row>
    <row r="12" spans="2:9" s="110" customFormat="1" ht="19.5">
      <c r="B12" s="156" t="s">
        <v>167</v>
      </c>
      <c r="C12" s="111"/>
      <c r="D12" s="114">
        <v>112002</v>
      </c>
      <c r="E12" s="107">
        <v>1356950.83</v>
      </c>
      <c r="F12" s="4"/>
      <c r="G12" s="539"/>
      <c r="H12" s="539"/>
      <c r="I12" s="540"/>
    </row>
    <row r="13" spans="2:9" s="110" customFormat="1" ht="19.5">
      <c r="B13" s="156" t="s">
        <v>160</v>
      </c>
      <c r="C13" s="111"/>
      <c r="D13" s="112">
        <v>113200</v>
      </c>
      <c r="E13" s="107">
        <v>931245</v>
      </c>
      <c r="F13" s="4"/>
      <c r="G13" s="539"/>
      <c r="H13" s="540"/>
      <c r="I13" s="540"/>
    </row>
    <row r="14" spans="2:10" s="110" customFormat="1" ht="19.5">
      <c r="B14" s="156" t="s">
        <v>152</v>
      </c>
      <c r="C14" s="111"/>
      <c r="D14" s="112">
        <v>113301</v>
      </c>
      <c r="E14" s="107">
        <v>41520</v>
      </c>
      <c r="F14" s="107"/>
      <c r="G14" s="539"/>
      <c r="H14" s="542"/>
      <c r="I14" s="542"/>
      <c r="J14" s="136"/>
    </row>
    <row r="15" spans="2:9" s="110" customFormat="1" ht="19.5">
      <c r="B15" s="156" t="s">
        <v>153</v>
      </c>
      <c r="C15" s="111"/>
      <c r="D15" s="112">
        <v>113302</v>
      </c>
      <c r="E15" s="107">
        <v>37635.96</v>
      </c>
      <c r="F15" s="107"/>
      <c r="G15" s="539"/>
      <c r="H15" s="540"/>
      <c r="I15" s="540"/>
    </row>
    <row r="16" spans="2:9" s="110" customFormat="1" ht="19.5">
      <c r="B16" s="156" t="s">
        <v>162</v>
      </c>
      <c r="C16" s="111"/>
      <c r="D16" s="112">
        <v>113400</v>
      </c>
      <c r="E16" s="107">
        <v>257160</v>
      </c>
      <c r="F16" s="107"/>
      <c r="G16" s="539"/>
      <c r="H16" s="540"/>
      <c r="I16" s="540"/>
    </row>
    <row r="17" spans="2:9" s="110" customFormat="1" ht="19.5">
      <c r="B17" s="156" t="s">
        <v>163</v>
      </c>
      <c r="C17" s="111"/>
      <c r="D17" s="112">
        <v>190001</v>
      </c>
      <c r="E17" s="107">
        <v>500</v>
      </c>
      <c r="F17" s="107"/>
      <c r="G17" s="539"/>
      <c r="H17" s="540"/>
      <c r="I17" s="540"/>
    </row>
    <row r="18" spans="2:9" s="110" customFormat="1" ht="19.5">
      <c r="B18" s="156" t="s">
        <v>164</v>
      </c>
      <c r="C18" s="111"/>
      <c r="D18" s="112">
        <v>190004</v>
      </c>
      <c r="E18" s="107">
        <v>33408</v>
      </c>
      <c r="F18" s="107"/>
      <c r="G18" s="539"/>
      <c r="H18" s="540"/>
      <c r="I18" s="540"/>
    </row>
    <row r="19" spans="2:11" s="110" customFormat="1" ht="19.5">
      <c r="B19" s="4" t="s">
        <v>11</v>
      </c>
      <c r="C19" s="4"/>
      <c r="D19" s="113" t="s">
        <v>166</v>
      </c>
      <c r="E19" s="107">
        <f>+G19+H19+I19</f>
        <v>9495348.5</v>
      </c>
      <c r="F19" s="107"/>
      <c r="G19" s="539">
        <v>739453.5</v>
      </c>
      <c r="H19" s="540">
        <f>7755000+984000+16895</f>
        <v>8755895</v>
      </c>
      <c r="I19" s="540"/>
      <c r="J19" s="132"/>
      <c r="K19" s="132"/>
    </row>
    <row r="20" spans="2:9" s="110" customFormat="1" ht="19.5">
      <c r="B20" s="4" t="s">
        <v>105</v>
      </c>
      <c r="C20" s="4"/>
      <c r="D20" s="114">
        <v>521000</v>
      </c>
      <c r="E20" s="107">
        <v>2573134.84</v>
      </c>
      <c r="F20" s="107"/>
      <c r="G20" s="539">
        <f>6146268.4+321250</f>
        <v>6467518.4</v>
      </c>
      <c r="H20" s="540">
        <f>733601.94</f>
        <v>733601.94</v>
      </c>
      <c r="I20" s="540"/>
    </row>
    <row r="21" spans="2:9" s="110" customFormat="1" ht="19.5">
      <c r="B21" s="4" t="s">
        <v>106</v>
      </c>
      <c r="C21" s="4"/>
      <c r="D21" s="114">
        <v>522000</v>
      </c>
      <c r="E21" s="107">
        <v>7079855.49</v>
      </c>
      <c r="F21" s="107"/>
      <c r="G21" s="539">
        <v>2092169.99</v>
      </c>
      <c r="H21" s="540">
        <f>327000</f>
        <v>327000</v>
      </c>
      <c r="I21" s="540">
        <v>32700</v>
      </c>
    </row>
    <row r="22" spans="2:9" s="110" customFormat="1" ht="19.5">
      <c r="B22" s="4" t="s">
        <v>12</v>
      </c>
      <c r="C22" s="4"/>
      <c r="D22" s="114">
        <v>531000</v>
      </c>
      <c r="E22" s="107">
        <f aca="true" t="shared" si="0" ref="E22:E28">+G22+H22+I22</f>
        <v>148173</v>
      </c>
      <c r="F22" s="107"/>
      <c r="G22" s="539">
        <f>142923</f>
        <v>142923</v>
      </c>
      <c r="H22" s="540"/>
      <c r="I22" s="540">
        <v>5250</v>
      </c>
    </row>
    <row r="23" spans="2:9" s="110" customFormat="1" ht="19.5">
      <c r="B23" s="4" t="s">
        <v>13</v>
      </c>
      <c r="C23" s="4"/>
      <c r="D23" s="114">
        <v>532000</v>
      </c>
      <c r="E23" s="107">
        <f t="shared" si="0"/>
        <v>2300143.06</v>
      </c>
      <c r="F23" s="107"/>
      <c r="G23" s="539">
        <v>2116962.48</v>
      </c>
      <c r="H23" s="540">
        <v>77000</v>
      </c>
      <c r="I23" s="540">
        <f>7694.08+98486.5</f>
        <v>106180.58</v>
      </c>
    </row>
    <row r="24" spans="2:9" s="110" customFormat="1" ht="19.5">
      <c r="B24" s="156" t="s">
        <v>14</v>
      </c>
      <c r="C24" s="111"/>
      <c r="D24" s="114">
        <v>533000</v>
      </c>
      <c r="E24" s="107">
        <f t="shared" si="0"/>
        <v>3284929.92</v>
      </c>
      <c r="F24" s="107"/>
      <c r="G24" s="539">
        <v>2080118.18</v>
      </c>
      <c r="H24" s="540">
        <v>215900</v>
      </c>
      <c r="I24" s="540">
        <f>111307.8+877603.94</f>
        <v>988911.74</v>
      </c>
    </row>
    <row r="25" spans="2:9" s="110" customFormat="1" ht="19.5">
      <c r="B25" s="4" t="s">
        <v>15</v>
      </c>
      <c r="C25" s="4"/>
      <c r="D25" s="114">
        <v>534000</v>
      </c>
      <c r="E25" s="107">
        <f t="shared" si="0"/>
        <v>880674.62</v>
      </c>
      <c r="F25" s="107"/>
      <c r="G25" s="539">
        <v>880674.62</v>
      </c>
      <c r="H25" s="540"/>
      <c r="I25" s="540"/>
    </row>
    <row r="26" spans="2:9" s="110" customFormat="1" ht="19.5">
      <c r="B26" s="4" t="s">
        <v>17</v>
      </c>
      <c r="C26" s="4"/>
      <c r="D26" s="114">
        <v>541000</v>
      </c>
      <c r="E26" s="107">
        <f t="shared" si="0"/>
        <v>1669156.55</v>
      </c>
      <c r="F26" s="107"/>
      <c r="G26" s="539">
        <v>462456.55</v>
      </c>
      <c r="H26" s="540"/>
      <c r="I26" s="540">
        <f>187700+121000+898000</f>
        <v>1206700</v>
      </c>
    </row>
    <row r="27" spans="2:9" s="110" customFormat="1" ht="19.5">
      <c r="B27" s="4" t="s">
        <v>18</v>
      </c>
      <c r="C27" s="4"/>
      <c r="D27" s="114">
        <v>542000</v>
      </c>
      <c r="E27" s="107">
        <f t="shared" si="0"/>
        <v>9910700</v>
      </c>
      <c r="F27" s="107"/>
      <c r="G27" s="539">
        <v>1372000</v>
      </c>
      <c r="H27" s="540">
        <f>1522000+4127000+1044500</f>
        <v>6693500</v>
      </c>
      <c r="I27" s="540">
        <f>990200+855000</f>
        <v>1845200</v>
      </c>
    </row>
    <row r="28" spans="2:9" s="110" customFormat="1" ht="19.5">
      <c r="B28" s="4" t="s">
        <v>16</v>
      </c>
      <c r="C28" s="4"/>
      <c r="D28" s="114">
        <v>561000</v>
      </c>
      <c r="E28" s="107">
        <f t="shared" si="0"/>
        <v>3728700</v>
      </c>
      <c r="F28" s="107"/>
      <c r="G28" s="539">
        <v>3728700</v>
      </c>
      <c r="H28" s="540"/>
      <c r="I28" s="540"/>
    </row>
    <row r="29" spans="2:9" s="110" customFormat="1" ht="19.5">
      <c r="B29" s="156" t="s">
        <v>205</v>
      </c>
      <c r="C29" s="111"/>
      <c r="D29" s="114">
        <v>211000</v>
      </c>
      <c r="E29" s="107"/>
      <c r="F29" s="107">
        <f>+'หมายเหตุ 2-4'!F11</f>
        <v>4027990.44</v>
      </c>
      <c r="G29" s="539">
        <f>SUM(E19:E27)</f>
        <v>37342115.98</v>
      </c>
      <c r="H29" s="540"/>
      <c r="I29" s="543"/>
    </row>
    <row r="30" spans="2:10" s="110" customFormat="1" ht="19.5">
      <c r="B30" s="156" t="s">
        <v>209</v>
      </c>
      <c r="C30" s="111"/>
      <c r="D30" s="114">
        <v>213000</v>
      </c>
      <c r="E30" s="107"/>
      <c r="F30" s="107">
        <f>+'หมายเหตุ 2-4'!F18</f>
        <v>124251.88</v>
      </c>
      <c r="G30" s="539"/>
      <c r="H30" s="540"/>
      <c r="I30" s="543"/>
      <c r="J30" s="139"/>
    </row>
    <row r="31" spans="2:10" s="110" customFormat="1" ht="19.5">
      <c r="B31" s="4" t="s">
        <v>210</v>
      </c>
      <c r="C31" s="111"/>
      <c r="D31" s="114">
        <v>215000</v>
      </c>
      <c r="E31" s="107"/>
      <c r="F31" s="141">
        <f>+'หมายเหตุ 2-4'!F28</f>
        <v>447165.89999999997</v>
      </c>
      <c r="G31" s="539"/>
      <c r="H31" s="540"/>
      <c r="I31" s="542"/>
      <c r="J31" s="139"/>
    </row>
    <row r="32" spans="2:10" s="110" customFormat="1" ht="19.5">
      <c r="B32" s="156" t="s">
        <v>165</v>
      </c>
      <c r="C32" s="111"/>
      <c r="D32" s="114">
        <v>290001</v>
      </c>
      <c r="E32" s="116"/>
      <c r="F32" s="147">
        <f>+E18</f>
        <v>33408</v>
      </c>
      <c r="G32" s="539"/>
      <c r="H32" s="540"/>
      <c r="I32" s="542"/>
      <c r="J32" s="139"/>
    </row>
    <row r="33" spans="2:10" s="110" customFormat="1" ht="19.5">
      <c r="B33" s="4" t="s">
        <v>19</v>
      </c>
      <c r="C33" s="111"/>
      <c r="D33" s="114">
        <v>310000</v>
      </c>
      <c r="E33" s="107"/>
      <c r="F33" s="107">
        <f>20180629.85+12292</f>
        <v>20192921.85</v>
      </c>
      <c r="G33" s="539"/>
      <c r="H33" s="540"/>
      <c r="I33" s="543"/>
      <c r="J33" s="139"/>
    </row>
    <row r="34" spans="2:10" s="110" customFormat="1" ht="19.5">
      <c r="B34" s="4" t="s">
        <v>20</v>
      </c>
      <c r="C34" s="111"/>
      <c r="D34" s="114">
        <v>320000</v>
      </c>
      <c r="E34" s="107"/>
      <c r="F34" s="107">
        <v>14721932.22</v>
      </c>
      <c r="G34" s="539"/>
      <c r="H34" s="540"/>
      <c r="I34" s="543"/>
      <c r="J34" s="139"/>
    </row>
    <row r="35" spans="2:10" s="110" customFormat="1" ht="19.5">
      <c r="B35" s="4" t="s">
        <v>21</v>
      </c>
      <c r="C35" s="111"/>
      <c r="D35" s="114"/>
      <c r="E35" s="107"/>
      <c r="F35" s="141">
        <f>+'หมายเหตุ 1 รายรับจริง'!G130</f>
        <v>48517647.190000005</v>
      </c>
      <c r="G35" s="539"/>
      <c r="H35" s="544"/>
      <c r="I35" s="543"/>
      <c r="J35" s="139"/>
    </row>
    <row r="36" spans="2:10" s="110" customFormat="1" ht="19.5">
      <c r="B36" s="157"/>
      <c r="C36" s="158"/>
      <c r="D36" s="115"/>
      <c r="E36" s="116"/>
      <c r="F36" s="116"/>
      <c r="G36" s="539"/>
      <c r="H36" s="540"/>
      <c r="I36" s="543"/>
      <c r="J36" s="139"/>
    </row>
    <row r="37" spans="2:9" s="110" customFormat="1" ht="19.5">
      <c r="B37" s="159"/>
      <c r="C37" s="160"/>
      <c r="D37" s="161"/>
      <c r="E37" s="162">
        <f>SUM(E6:E35)</f>
        <v>88065317.48</v>
      </c>
      <c r="F37" s="162">
        <f>SUM(F6:F35)</f>
        <v>88065317.48</v>
      </c>
      <c r="G37" s="537"/>
      <c r="H37" s="538"/>
      <c r="I37" s="538"/>
    </row>
    <row r="38" spans="2:9" s="3" customFormat="1" ht="19.5">
      <c r="B38" s="117"/>
      <c r="C38" s="117"/>
      <c r="D38" s="117"/>
      <c r="E38" s="118"/>
      <c r="F38" s="393">
        <f>+E37-F37</f>
        <v>0</v>
      </c>
      <c r="G38" s="537"/>
      <c r="H38" s="538"/>
      <c r="I38" s="538"/>
    </row>
    <row r="39" spans="2:9" s="3" customFormat="1" ht="19.5">
      <c r="B39" s="117"/>
      <c r="C39" s="117"/>
      <c r="D39" s="117"/>
      <c r="E39" s="118"/>
      <c r="F39" s="119"/>
      <c r="G39" s="537"/>
      <c r="H39" s="538"/>
      <c r="I39" s="538"/>
    </row>
    <row r="40" spans="2:9" s="3" customFormat="1" ht="19.5">
      <c r="B40" s="120"/>
      <c r="C40" s="120"/>
      <c r="D40" s="120"/>
      <c r="E40" s="121"/>
      <c r="F40" s="121"/>
      <c r="G40" s="538"/>
      <c r="H40" s="538"/>
      <c r="I40" s="538"/>
    </row>
    <row r="41" spans="1:9" s="3" customFormat="1" ht="19.5">
      <c r="A41" s="120" t="s">
        <v>123</v>
      </c>
      <c r="B41" s="120"/>
      <c r="C41" s="120"/>
      <c r="D41" s="120"/>
      <c r="E41" s="121"/>
      <c r="F41" s="121"/>
      <c r="G41" s="538"/>
      <c r="H41" s="538"/>
      <c r="I41" s="538"/>
    </row>
    <row r="42" spans="1:9" s="3" customFormat="1" ht="19.5">
      <c r="A42" s="120" t="s">
        <v>22</v>
      </c>
      <c r="B42" s="120"/>
      <c r="C42" s="120"/>
      <c r="D42" s="120"/>
      <c r="E42" s="121"/>
      <c r="F42" s="121"/>
      <c r="G42" s="538"/>
      <c r="H42" s="538"/>
      <c r="I42" s="538"/>
    </row>
    <row r="43" spans="1:9" s="3" customFormat="1" ht="21">
      <c r="A43" s="120" t="s">
        <v>23</v>
      </c>
      <c r="B43" s="5"/>
      <c r="C43" s="5"/>
      <c r="D43" s="122"/>
      <c r="E43" s="6"/>
      <c r="F43" s="6"/>
      <c r="G43" s="538"/>
      <c r="H43" s="538"/>
      <c r="I43" s="538"/>
    </row>
    <row r="44" spans="1:9" ht="21">
      <c r="A44" s="5"/>
      <c r="B44" s="5"/>
      <c r="C44" s="5"/>
      <c r="D44" s="122"/>
      <c r="G44" s="538"/>
      <c r="H44" s="101"/>
      <c r="I44" s="101"/>
    </row>
    <row r="45" spans="1:9" ht="21">
      <c r="A45" s="5"/>
      <c r="B45" s="5"/>
      <c r="C45" s="5"/>
      <c r="D45" s="122"/>
      <c r="G45" s="538"/>
      <c r="H45" s="101"/>
      <c r="I45" s="101"/>
    </row>
    <row r="46" spans="1:9" ht="21">
      <c r="A46" s="5"/>
      <c r="C46" s="5"/>
      <c r="D46" s="8"/>
      <c r="E46" s="9"/>
      <c r="F46" s="10"/>
      <c r="H46" s="101"/>
      <c r="I46" s="101"/>
    </row>
    <row r="47" spans="1:9" ht="21">
      <c r="A47" s="8"/>
      <c r="C47" s="5"/>
      <c r="D47" s="8"/>
      <c r="E47" s="9"/>
      <c r="F47" s="10"/>
      <c r="H47" s="101"/>
      <c r="I47" s="101"/>
    </row>
    <row r="48" spans="1:9" ht="21">
      <c r="A48" s="8"/>
      <c r="C48" s="5"/>
      <c r="D48" s="8"/>
      <c r="E48" s="9"/>
      <c r="F48" s="10"/>
      <c r="H48" s="101"/>
      <c r="I48" s="101"/>
    </row>
    <row r="49" spans="1:9" ht="21">
      <c r="A49" s="8"/>
      <c r="H49" s="101"/>
      <c r="I49" s="101"/>
    </row>
    <row r="50" ht="21">
      <c r="A50" s="8"/>
    </row>
    <row r="51" spans="2:9" ht="21">
      <c r="B51" s="5"/>
      <c r="C51" s="5"/>
      <c r="D51" s="5"/>
      <c r="H51" s="101"/>
      <c r="I51" s="101"/>
    </row>
    <row r="52" spans="1:9" ht="21">
      <c r="A52" s="5"/>
      <c r="B52" s="8"/>
      <c r="C52" s="8"/>
      <c r="D52" s="8"/>
      <c r="H52" s="101"/>
      <c r="I52" s="101"/>
    </row>
    <row r="53" spans="1:9" ht="21">
      <c r="A53" s="8"/>
      <c r="B53" s="8"/>
      <c r="C53" s="8"/>
      <c r="D53" s="8"/>
      <c r="H53" s="101"/>
      <c r="I53" s="101"/>
    </row>
    <row r="54" spans="1:9" ht="21">
      <c r="A54" s="8"/>
      <c r="B54" s="8"/>
      <c r="C54" s="8"/>
      <c r="D54" s="8"/>
      <c r="H54" s="101"/>
      <c r="I54" s="101"/>
    </row>
    <row r="55" spans="1:9" ht="21">
      <c r="A55" s="8"/>
      <c r="B55" s="8"/>
      <c r="C55" s="8"/>
      <c r="D55" s="8"/>
      <c r="H55" s="101"/>
      <c r="I55" s="101"/>
    </row>
    <row r="56" spans="1:9" ht="21">
      <c r="A56" s="8"/>
      <c r="B56" s="8"/>
      <c r="C56" s="8"/>
      <c r="D56" s="8"/>
      <c r="H56" s="101"/>
      <c r="I56" s="101"/>
    </row>
    <row r="57" spans="1:9" ht="21">
      <c r="A57" s="8"/>
      <c r="B57" s="8"/>
      <c r="C57" s="8"/>
      <c r="D57" s="8"/>
      <c r="H57" s="101"/>
      <c r="I57" s="101"/>
    </row>
    <row r="58" spans="1:9" ht="21">
      <c r="A58" s="8"/>
      <c r="B58" s="8"/>
      <c r="C58" s="8"/>
      <c r="D58" s="8"/>
      <c r="H58" s="101"/>
      <c r="I58" s="101"/>
    </row>
    <row r="59" ht="21">
      <c r="A59" s="8"/>
    </row>
  </sheetData>
  <sheetProtection/>
  <mergeCells count="4">
    <mergeCell ref="B5:C5"/>
    <mergeCell ref="A1:F1"/>
    <mergeCell ref="A2:F2"/>
    <mergeCell ref="A3:F3"/>
  </mergeCells>
  <printOptions/>
  <pageMargins left="0.6299212598425197" right="0.15748031496062992" top="0.48" bottom="0.2" header="0.15748031496062992" footer="0.1574803149606299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"/>
  <sheetViews>
    <sheetView zoomScalePageLayoutView="0" workbookViewId="0" topLeftCell="A1">
      <selection activeCell="K23" sqref="K23"/>
    </sheetView>
  </sheetViews>
  <sheetFormatPr defaultColWidth="9.140625" defaultRowHeight="21.75"/>
  <cols>
    <col min="1" max="1" width="6.57421875" style="8" customWidth="1"/>
    <col min="2" max="2" width="5.140625" style="1" customWidth="1"/>
    <col min="3" max="3" width="4.7109375" style="1" customWidth="1"/>
    <col min="4" max="5" width="15.7109375" style="1" customWidth="1"/>
    <col min="6" max="6" width="15.7109375" style="10" customWidth="1"/>
    <col min="7" max="7" width="15.28125" style="10" customWidth="1"/>
    <col min="8" max="8" width="13.57421875" style="1" bestFit="1" customWidth="1"/>
    <col min="9" max="9" width="13.421875" style="8" bestFit="1" customWidth="1"/>
    <col min="10" max="16384" width="9.140625" style="8" customWidth="1"/>
  </cols>
  <sheetData>
    <row r="1" spans="1:9" ht="21">
      <c r="A1" s="556" t="s">
        <v>0</v>
      </c>
      <c r="B1" s="556"/>
      <c r="C1" s="556"/>
      <c r="D1" s="556"/>
      <c r="E1" s="556"/>
      <c r="F1" s="556"/>
      <c r="G1" s="556"/>
      <c r="H1" s="556"/>
      <c r="I1" s="1"/>
    </row>
    <row r="2" spans="1:9" ht="21">
      <c r="A2" s="557" t="s">
        <v>305</v>
      </c>
      <c r="B2" s="557"/>
      <c r="C2" s="557"/>
      <c r="D2" s="557"/>
      <c r="E2" s="557"/>
      <c r="F2" s="557"/>
      <c r="G2" s="557"/>
      <c r="H2" s="557"/>
      <c r="I2" s="1"/>
    </row>
    <row r="3" spans="1:9" ht="21">
      <c r="A3" s="558" t="s">
        <v>306</v>
      </c>
      <c r="B3" s="558"/>
      <c r="C3" s="558"/>
      <c r="D3" s="558"/>
      <c r="E3" s="558"/>
      <c r="F3" s="558"/>
      <c r="G3" s="558"/>
      <c r="H3" s="558"/>
      <c r="I3" s="1"/>
    </row>
    <row r="4" spans="1:9" ht="21">
      <c r="A4" s="257"/>
      <c r="B4" s="257"/>
      <c r="C4" s="257"/>
      <c r="D4" s="257"/>
      <c r="E4" s="257"/>
      <c r="F4" s="257"/>
      <c r="G4" s="73"/>
      <c r="H4" s="73"/>
      <c r="I4" s="1"/>
    </row>
    <row r="5" spans="1:8" ht="21">
      <c r="A5" s="200" t="s">
        <v>307</v>
      </c>
      <c r="B5" s="2"/>
      <c r="C5" s="2"/>
      <c r="D5" s="2"/>
      <c r="E5" s="74"/>
      <c r="H5" s="8"/>
    </row>
    <row r="6" spans="1:8" ht="21">
      <c r="A6" s="200"/>
      <c r="B6" s="74" t="s">
        <v>473</v>
      </c>
      <c r="C6" s="2"/>
      <c r="D6" s="2"/>
      <c r="E6" s="74"/>
      <c r="H6" s="8"/>
    </row>
    <row r="7" spans="1:8" ht="21">
      <c r="A7" s="201" t="s">
        <v>474</v>
      </c>
      <c r="B7" s="2"/>
      <c r="C7" s="2"/>
      <c r="D7" s="2"/>
      <c r="E7" s="74"/>
      <c r="H7" s="8"/>
    </row>
    <row r="8" spans="1:8" ht="21">
      <c r="A8" s="201" t="s">
        <v>475</v>
      </c>
      <c r="B8" s="2"/>
      <c r="C8" s="2"/>
      <c r="D8" s="2"/>
      <c r="E8" s="74"/>
      <c r="H8" s="8"/>
    </row>
    <row r="9" spans="1:8" ht="21">
      <c r="A9" s="201" t="s">
        <v>476</v>
      </c>
      <c r="B9" s="2"/>
      <c r="C9" s="2"/>
      <c r="D9" s="2"/>
      <c r="E9" s="74"/>
      <c r="H9" s="8"/>
    </row>
    <row r="10" spans="1:8" ht="21">
      <c r="A10" s="201" t="s">
        <v>477</v>
      </c>
      <c r="B10" s="2"/>
      <c r="C10" s="2"/>
      <c r="D10" s="2"/>
      <c r="E10" s="74"/>
      <c r="H10" s="8"/>
    </row>
    <row r="11" spans="1:8" ht="21">
      <c r="A11" s="201" t="s">
        <v>478</v>
      </c>
      <c r="B11" s="2"/>
      <c r="C11" s="2"/>
      <c r="D11" s="2"/>
      <c r="E11" s="74"/>
      <c r="H11" s="8"/>
    </row>
    <row r="12" spans="1:8" ht="21">
      <c r="A12" s="201"/>
      <c r="B12" s="2"/>
      <c r="C12" s="2"/>
      <c r="D12" s="2"/>
      <c r="E12" s="74"/>
      <c r="H12" s="8"/>
    </row>
    <row r="13" spans="1:6" ht="21">
      <c r="A13" s="200" t="s">
        <v>308</v>
      </c>
      <c r="B13" s="2"/>
      <c r="C13" s="2"/>
      <c r="D13" s="2"/>
      <c r="F13" s="9"/>
    </row>
    <row r="14" spans="1:6" ht="21">
      <c r="A14" s="202"/>
      <c r="B14" s="2"/>
      <c r="C14" s="74" t="s">
        <v>309</v>
      </c>
      <c r="D14" s="2"/>
      <c r="F14" s="204"/>
    </row>
    <row r="15" spans="1:8" ht="21">
      <c r="A15" s="200"/>
      <c r="B15" s="74"/>
      <c r="C15" s="203"/>
      <c r="D15" s="74" t="s">
        <v>310</v>
      </c>
      <c r="E15" s="74"/>
      <c r="H15" s="8"/>
    </row>
    <row r="16" spans="1:6" ht="21">
      <c r="A16" s="201" t="s">
        <v>311</v>
      </c>
      <c r="B16" s="74"/>
      <c r="C16" s="203"/>
      <c r="D16" s="203"/>
      <c r="F16" s="206"/>
    </row>
    <row r="17" spans="1:6" ht="21">
      <c r="A17" s="201" t="s">
        <v>312</v>
      </c>
      <c r="B17" s="74"/>
      <c r="C17" s="203"/>
      <c r="D17" s="203"/>
      <c r="F17" s="206"/>
    </row>
    <row r="18" spans="1:2" ht="21">
      <c r="A18" s="201"/>
      <c r="B18" s="74"/>
    </row>
    <row r="19" spans="1:6" ht="21">
      <c r="A19" s="201"/>
      <c r="B19" s="74"/>
      <c r="E19" s="203"/>
      <c r="F19" s="316"/>
    </row>
    <row r="20" spans="1:5" ht="21">
      <c r="A20" s="201"/>
      <c r="B20" s="74"/>
      <c r="C20" s="203"/>
      <c r="D20" s="203"/>
      <c r="E20" s="203"/>
    </row>
    <row r="21" spans="1:9" s="10" customFormat="1" ht="21">
      <c r="A21" s="201"/>
      <c r="B21" s="74"/>
      <c r="C21" s="1"/>
      <c r="D21" s="1"/>
      <c r="E21" s="1"/>
      <c r="H21" s="1"/>
      <c r="I21" s="8"/>
    </row>
    <row r="22" spans="1:9" s="10" customFormat="1" ht="21">
      <c r="A22" s="201"/>
      <c r="B22" s="74"/>
      <c r="C22" s="1"/>
      <c r="D22" s="1"/>
      <c r="E22" s="1"/>
      <c r="H22" s="1"/>
      <c r="I22" s="8"/>
    </row>
    <row r="23" spans="1:9" s="10" customFormat="1" ht="21">
      <c r="A23" s="201"/>
      <c r="B23" s="74"/>
      <c r="C23" s="1"/>
      <c r="D23" s="1"/>
      <c r="E23" s="1"/>
      <c r="H23" s="1"/>
      <c r="I23" s="8"/>
    </row>
    <row r="24" spans="1:2" ht="21">
      <c r="A24" s="201"/>
      <c r="B24" s="74"/>
    </row>
    <row r="25" spans="1:9" s="1" customFormat="1" ht="21">
      <c r="A25" s="201"/>
      <c r="B25" s="74"/>
      <c r="F25" s="10"/>
      <c r="G25" s="10"/>
      <c r="I25" s="8"/>
    </row>
    <row r="26" spans="1:9" s="1" customFormat="1" ht="21">
      <c r="A26" s="201"/>
      <c r="F26" s="10"/>
      <c r="G26" s="10"/>
      <c r="I26" s="8"/>
    </row>
    <row r="27" spans="1:9" s="1" customFormat="1" ht="21">
      <c r="A27" s="201"/>
      <c r="F27" s="10"/>
      <c r="G27" s="10"/>
      <c r="I27" s="8"/>
    </row>
  </sheetData>
  <sheetProtection/>
  <mergeCells count="3">
    <mergeCell ref="A1:H1"/>
    <mergeCell ref="A2:H2"/>
    <mergeCell ref="A3:H3"/>
  </mergeCells>
  <printOptions/>
  <pageMargins left="1.25" right="0.15748031496062992" top="1.01" bottom="0" header="0.16" footer="0.19"/>
  <pageSetup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zoomScalePageLayoutView="0" workbookViewId="0" topLeftCell="A1">
      <selection activeCell="G17" sqref="G17"/>
    </sheetView>
  </sheetViews>
  <sheetFormatPr defaultColWidth="9.140625" defaultRowHeight="21.75"/>
  <cols>
    <col min="1" max="1" width="2.8515625" style="317" customWidth="1"/>
    <col min="2" max="2" width="36.28125" style="317" customWidth="1"/>
    <col min="3" max="3" width="16.7109375" style="235" customWidth="1"/>
    <col min="4" max="4" width="24.140625" style="317" customWidth="1"/>
    <col min="5" max="5" width="16.7109375" style="235" customWidth="1"/>
    <col min="6" max="6" width="18.8515625" style="317" bestFit="1" customWidth="1"/>
    <col min="7" max="7" width="15.28125" style="317" bestFit="1" customWidth="1"/>
    <col min="8" max="8" width="12.421875" style="317" bestFit="1" customWidth="1"/>
    <col min="9" max="9" width="12.421875" style="1" bestFit="1" customWidth="1"/>
    <col min="10" max="10" width="10.140625" style="1" bestFit="1" customWidth="1"/>
    <col min="11" max="11" width="11.28125" style="1" bestFit="1" customWidth="1"/>
    <col min="12" max="12" width="15.28125" style="1" bestFit="1" customWidth="1"/>
    <col min="13" max="13" width="15.28125" style="317" bestFit="1" customWidth="1"/>
    <col min="14" max="16384" width="9.140625" style="317" customWidth="1"/>
  </cols>
  <sheetData>
    <row r="1" spans="1:5" ht="21">
      <c r="A1" s="570" t="s">
        <v>0</v>
      </c>
      <c r="B1" s="570"/>
      <c r="C1" s="570"/>
      <c r="D1" s="570"/>
      <c r="E1" s="570"/>
    </row>
    <row r="2" spans="1:5" ht="21">
      <c r="A2" s="570" t="str">
        <f>+'หมายเหตุ 1'!A2:H2</f>
        <v>หมายเหตุประกอบงบแสดงฐานะการเงิน</v>
      </c>
      <c r="B2" s="570"/>
      <c r="C2" s="570"/>
      <c r="D2" s="570"/>
      <c r="E2" s="570"/>
    </row>
    <row r="3" spans="1:5" ht="21">
      <c r="A3" s="570" t="str">
        <f>+'หมายเหตุ 1'!A3:H3</f>
        <v>สำหรับปี สิ้นสุดวันที่ 30 กันยายน 2558</v>
      </c>
      <c r="B3" s="570"/>
      <c r="C3" s="570"/>
      <c r="D3" s="570"/>
      <c r="E3" s="570"/>
    </row>
    <row r="4" spans="1:5" ht="21">
      <c r="A4" s="339" t="s">
        <v>331</v>
      </c>
      <c r="B4" s="319"/>
      <c r="C4" s="319"/>
      <c r="D4" s="319"/>
      <c r="E4" s="319"/>
    </row>
    <row r="5" spans="1:5" ht="21">
      <c r="A5" s="320"/>
      <c r="B5" s="320"/>
      <c r="C5" s="318"/>
      <c r="D5" s="320"/>
      <c r="E5" s="318"/>
    </row>
    <row r="6" spans="1:5" ht="21">
      <c r="A6" s="571" t="s">
        <v>313</v>
      </c>
      <c r="B6" s="572"/>
      <c r="C6" s="573" t="s">
        <v>314</v>
      </c>
      <c r="D6" s="574" t="s">
        <v>332</v>
      </c>
      <c r="E6" s="574"/>
    </row>
    <row r="7" spans="1:5" ht="21">
      <c r="A7" s="571"/>
      <c r="B7" s="572"/>
      <c r="C7" s="573"/>
      <c r="D7" s="321" t="s">
        <v>315</v>
      </c>
      <c r="E7" s="322" t="s">
        <v>1</v>
      </c>
    </row>
    <row r="8" spans="1:5" ht="21">
      <c r="A8" s="323" t="s">
        <v>316</v>
      </c>
      <c r="B8" s="324"/>
      <c r="C8" s="325"/>
      <c r="D8" s="326"/>
      <c r="E8" s="325"/>
    </row>
    <row r="9" spans="1:8" ht="21">
      <c r="A9" s="327"/>
      <c r="B9" s="328" t="s">
        <v>317</v>
      </c>
      <c r="C9" s="329">
        <f>+งบทรัพย์สิน!D6</f>
        <v>140000</v>
      </c>
      <c r="D9" s="330" t="s">
        <v>319</v>
      </c>
      <c r="E9" s="329">
        <f>+C30-E10-E11</f>
        <v>15684038</v>
      </c>
      <c r="F9" s="331"/>
      <c r="G9" s="331"/>
      <c r="H9" s="331"/>
    </row>
    <row r="10" spans="1:8" ht="21">
      <c r="A10" s="327"/>
      <c r="B10" s="332" t="s">
        <v>318</v>
      </c>
      <c r="C10" s="333">
        <f>+งบทรัพย์สิน!D9</f>
        <v>337000</v>
      </c>
      <c r="D10" s="330" t="s">
        <v>66</v>
      </c>
      <c r="E10" s="333">
        <f>+งบทรัพย์สิน!D5+งบทรัพย์สิน!D51+งบทรัพย์สิน!D52+งบทรัพย์สิน!D53+งบทรัพย์สิน!D54+งบทรัพย์สิน!D55+งบทรัพย์สิน!D69+งบทรัพย์สิน!D75+งบทรัพย์สิน!D76+งบทรัพย์สิน!D131+งบทรัพย์สิน!D132+งบทรัพย์สิน!D136+งบทรัพย์สิน!D139+งบทรัพย์สิน!D140+งบทรัพย์สิน!D152+งบทรัพย์สิน!D210+งบทรัพย์สิน!D244+งบทรัพย์สิน!D251</f>
        <v>1002510</v>
      </c>
      <c r="F10" s="331"/>
      <c r="G10" s="331"/>
      <c r="H10" s="331"/>
    </row>
    <row r="11" spans="1:6" ht="21">
      <c r="A11" s="327"/>
      <c r="B11" s="332" t="s">
        <v>320</v>
      </c>
      <c r="C11" s="333">
        <f>+งบทรัพย์สิน!D14</f>
        <v>2359500</v>
      </c>
      <c r="D11" s="334" t="s">
        <v>148</v>
      </c>
      <c r="E11" s="333">
        <f>+งบทรัพย์สิน!D19+งบทรัพย์สิน!D13+งบทรัพย์สิน!D200</f>
        <v>3279630</v>
      </c>
      <c r="F11" s="331"/>
    </row>
    <row r="12" spans="1:5" ht="21">
      <c r="A12" s="327"/>
      <c r="B12" s="332" t="s">
        <v>321</v>
      </c>
      <c r="C12" s="333">
        <f>+งบทรัพย์สิน!D17</f>
        <v>338000</v>
      </c>
      <c r="D12" s="334"/>
      <c r="E12" s="333"/>
    </row>
    <row r="13" spans="1:5" ht="21">
      <c r="A13" s="327"/>
      <c r="B13" s="332" t="s">
        <v>322</v>
      </c>
      <c r="C13" s="333">
        <f>+งบทรัพย์สิน!D23</f>
        <v>2373994</v>
      </c>
      <c r="D13" s="334"/>
      <c r="E13" s="333"/>
    </row>
    <row r="14" spans="1:5" ht="21">
      <c r="A14" s="327"/>
      <c r="B14" s="332" t="s">
        <v>323</v>
      </c>
      <c r="C14" s="333">
        <f>+งบทรัพย์สิน!D27</f>
        <v>417500</v>
      </c>
      <c r="D14" s="334"/>
      <c r="E14" s="333"/>
    </row>
    <row r="15" spans="1:5" ht="21">
      <c r="A15" s="327"/>
      <c r="B15" s="332" t="s">
        <v>324</v>
      </c>
      <c r="C15" s="333">
        <f>+งบทรัพย์สิน!D31</f>
        <v>149500</v>
      </c>
      <c r="D15" s="334"/>
      <c r="E15" s="333"/>
    </row>
    <row r="16" spans="1:5" ht="21">
      <c r="A16" s="327" t="s">
        <v>325</v>
      </c>
      <c r="B16" s="335"/>
      <c r="C16" s="336"/>
      <c r="D16" s="337"/>
      <c r="E16" s="336"/>
    </row>
    <row r="17" spans="1:5" ht="21">
      <c r="A17" s="327"/>
      <c r="B17" s="328" t="s">
        <v>326</v>
      </c>
      <c r="C17" s="329">
        <f>+งบทรัพย์สิน!D144</f>
        <v>1545534</v>
      </c>
      <c r="D17" s="330"/>
      <c r="E17" s="329"/>
    </row>
    <row r="18" spans="1:5" ht="21">
      <c r="A18" s="327"/>
      <c r="B18" s="332" t="s">
        <v>327</v>
      </c>
      <c r="C18" s="333">
        <f>+งบทรัพย์สิน!D156</f>
        <v>9128200</v>
      </c>
      <c r="D18" s="334"/>
      <c r="E18" s="333"/>
    </row>
    <row r="19" spans="1:5" ht="21">
      <c r="A19" s="327"/>
      <c r="B19" s="332" t="s">
        <v>328</v>
      </c>
      <c r="C19" s="333">
        <f>+งบทรัพย์สิน!D168</f>
        <v>391000</v>
      </c>
      <c r="D19" s="334"/>
      <c r="E19" s="333"/>
    </row>
    <row r="20" spans="1:5" ht="21">
      <c r="A20" s="327"/>
      <c r="B20" s="332" t="s">
        <v>888</v>
      </c>
      <c r="C20" s="333">
        <f>+งบทรัพย์สิน!D173</f>
        <v>30500</v>
      </c>
      <c r="D20" s="334"/>
      <c r="E20" s="333"/>
    </row>
    <row r="21" spans="1:5" ht="21">
      <c r="A21" s="327"/>
      <c r="B21" s="332" t="s">
        <v>889</v>
      </c>
      <c r="C21" s="333">
        <f>+งบทรัพย์สิน!D187</f>
        <v>65329</v>
      </c>
      <c r="D21" s="334"/>
      <c r="E21" s="333"/>
    </row>
    <row r="22" spans="1:5" ht="21">
      <c r="A22" s="327"/>
      <c r="B22" s="332" t="s">
        <v>890</v>
      </c>
      <c r="C22" s="333">
        <f>+งบทรัพย์สิน!D201</f>
        <v>1360100</v>
      </c>
      <c r="D22" s="334"/>
      <c r="E22" s="333"/>
    </row>
    <row r="23" spans="1:5" ht="21">
      <c r="A23" s="327"/>
      <c r="B23" s="332" t="s">
        <v>891</v>
      </c>
      <c r="C23" s="333">
        <f>+งบทรัพย์สิน!D205</f>
        <v>153000</v>
      </c>
      <c r="D23" s="334"/>
      <c r="E23" s="333"/>
    </row>
    <row r="24" spans="1:5" ht="21">
      <c r="A24" s="327"/>
      <c r="B24" s="332" t="s">
        <v>892</v>
      </c>
      <c r="C24" s="333">
        <f>+งบทรัพย์สิน!D215</f>
        <v>115041</v>
      </c>
      <c r="D24" s="334"/>
      <c r="E24" s="333"/>
    </row>
    <row r="25" spans="1:5" ht="21">
      <c r="A25" s="327"/>
      <c r="B25" s="332" t="s">
        <v>329</v>
      </c>
      <c r="C25" s="333">
        <f>+งบทรัพย์สิน!D219</f>
        <v>17500</v>
      </c>
      <c r="D25" s="334"/>
      <c r="E25" s="333"/>
    </row>
    <row r="26" spans="1:5" ht="21">
      <c r="A26" s="327"/>
      <c r="B26" s="332" t="s">
        <v>893</v>
      </c>
      <c r="C26" s="333">
        <f>+งบทรัพย์สิน!D227</f>
        <v>72900</v>
      </c>
      <c r="D26" s="334"/>
      <c r="E26" s="333"/>
    </row>
    <row r="27" spans="1:5" ht="21">
      <c r="A27" s="327"/>
      <c r="B27" s="332" t="s">
        <v>894</v>
      </c>
      <c r="C27" s="333">
        <f>+งบทรัพย์สิน!D252</f>
        <v>684080</v>
      </c>
      <c r="D27" s="334"/>
      <c r="E27" s="333"/>
    </row>
    <row r="28" spans="1:5" ht="21">
      <c r="A28" s="327"/>
      <c r="B28" s="332" t="s">
        <v>330</v>
      </c>
      <c r="C28" s="333">
        <f>+งบทรัพย์สิน!D258</f>
        <v>287500</v>
      </c>
      <c r="D28" s="334"/>
      <c r="E28" s="333"/>
    </row>
    <row r="29" spans="1:5" ht="21">
      <c r="A29" s="327"/>
      <c r="B29" s="335"/>
      <c r="C29" s="336"/>
      <c r="D29" s="338"/>
      <c r="E29" s="336"/>
    </row>
    <row r="30" spans="1:12" s="486" customFormat="1" ht="21">
      <c r="A30" s="568" t="s">
        <v>33</v>
      </c>
      <c r="B30" s="569"/>
      <c r="C30" s="484">
        <f>SUM(C9:C29)</f>
        <v>19966178</v>
      </c>
      <c r="D30" s="485"/>
      <c r="E30" s="484">
        <f>SUM(E9:E29)</f>
        <v>19966178</v>
      </c>
      <c r="I30" s="148"/>
      <c r="J30" s="148"/>
      <c r="K30" s="148"/>
      <c r="L30" s="148"/>
    </row>
    <row r="34" spans="1:12" s="303" customFormat="1" ht="21">
      <c r="A34" s="201" t="s">
        <v>896</v>
      </c>
      <c r="B34" s="312"/>
      <c r="C34" s="312"/>
      <c r="D34" s="374"/>
      <c r="E34" s="312"/>
      <c r="F34" s="312"/>
      <c r="I34" s="1"/>
      <c r="J34" s="1"/>
      <c r="K34" s="1"/>
      <c r="L34" s="1"/>
    </row>
    <row r="35" spans="1:12" s="303" customFormat="1" ht="21">
      <c r="A35" s="201" t="s">
        <v>897</v>
      </c>
      <c r="B35" s="312"/>
      <c r="C35" s="312"/>
      <c r="D35" s="374"/>
      <c r="E35" s="312"/>
      <c r="F35" s="312"/>
      <c r="I35" s="1"/>
      <c r="J35" s="1"/>
      <c r="K35" s="1"/>
      <c r="L35" s="1"/>
    </row>
    <row r="36" spans="1:12" s="303" customFormat="1" ht="21">
      <c r="A36" s="201" t="s">
        <v>895</v>
      </c>
      <c r="D36" s="371"/>
      <c r="I36" s="1"/>
      <c r="J36" s="1"/>
      <c r="K36" s="1"/>
      <c r="L36" s="1"/>
    </row>
    <row r="37" spans="1:2" ht="21">
      <c r="A37" s="231"/>
      <c r="B37" s="303"/>
    </row>
    <row r="38" spans="1:2" ht="21">
      <c r="A38" s="303"/>
      <c r="B38" s="231"/>
    </row>
    <row r="39" spans="1:2" ht="21">
      <c r="A39" s="231"/>
      <c r="B39" s="312"/>
    </row>
  </sheetData>
  <sheetProtection/>
  <mergeCells count="7">
    <mergeCell ref="A30:B30"/>
    <mergeCell ref="A1:E1"/>
    <mergeCell ref="A2:E2"/>
    <mergeCell ref="A3:E3"/>
    <mergeCell ref="A6:B7"/>
    <mergeCell ref="C6:C7"/>
    <mergeCell ref="D6:E6"/>
  </mergeCells>
  <printOptions/>
  <pageMargins left="0.88" right="0.12" top="0.64" bottom="0.18" header="0.16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99"/>
  </sheetPr>
  <dimension ref="A1:K263"/>
  <sheetViews>
    <sheetView showGridLines="0" zoomScalePageLayoutView="0" workbookViewId="0" topLeftCell="A1">
      <selection activeCell="K19" sqref="K19"/>
    </sheetView>
  </sheetViews>
  <sheetFormatPr defaultColWidth="9.140625" defaultRowHeight="18.75" customHeight="1"/>
  <cols>
    <col min="1" max="1" width="5.7109375" style="426" customWidth="1"/>
    <col min="2" max="2" width="32.57421875" style="426" customWidth="1"/>
    <col min="3" max="3" width="15.8515625" style="478" customWidth="1"/>
    <col min="4" max="4" width="15.57421875" style="478" customWidth="1"/>
    <col min="5" max="5" width="8.140625" style="478" customWidth="1"/>
    <col min="6" max="6" width="14.421875" style="478" customWidth="1"/>
    <col min="7" max="7" width="11.57421875" style="478" customWidth="1"/>
    <col min="8" max="8" width="19.8515625" style="478" customWidth="1"/>
    <col min="9" max="9" width="13.8515625" style="426" customWidth="1"/>
    <col min="10" max="10" width="17.8515625" style="426" customWidth="1"/>
    <col min="11" max="16384" width="9.140625" style="426" customWidth="1"/>
  </cols>
  <sheetData>
    <row r="1" spans="1:9" ht="18.75" customHeight="1">
      <c r="A1" s="582" t="s">
        <v>479</v>
      </c>
      <c r="B1" s="582"/>
      <c r="C1" s="582"/>
      <c r="D1" s="582"/>
      <c r="E1" s="582"/>
      <c r="F1" s="582"/>
      <c r="G1" s="582"/>
      <c r="H1" s="582"/>
      <c r="I1" s="582"/>
    </row>
    <row r="2" spans="1:9" ht="18.75" customHeight="1">
      <c r="A2" s="427" t="s">
        <v>480</v>
      </c>
      <c r="B2" s="428" t="s">
        <v>2</v>
      </c>
      <c r="C2" s="428" t="s">
        <v>481</v>
      </c>
      <c r="D2" s="428" t="s">
        <v>482</v>
      </c>
      <c r="E2" s="428" t="s">
        <v>483</v>
      </c>
      <c r="F2" s="428" t="s">
        <v>484</v>
      </c>
      <c r="G2" s="428" t="s">
        <v>485</v>
      </c>
      <c r="H2" s="428" t="s">
        <v>486</v>
      </c>
      <c r="I2" s="428" t="s">
        <v>117</v>
      </c>
    </row>
    <row r="3" spans="1:9" ht="18.75" customHeight="1">
      <c r="A3" s="429"/>
      <c r="B3" s="428" t="s">
        <v>487</v>
      </c>
      <c r="C3" s="429"/>
      <c r="D3" s="429"/>
      <c r="E3" s="429"/>
      <c r="F3" s="429"/>
      <c r="G3" s="429"/>
      <c r="H3" s="429"/>
      <c r="I3" s="430"/>
    </row>
    <row r="4" spans="1:9" ht="18.75" customHeight="1">
      <c r="A4" s="429"/>
      <c r="B4" s="428" t="s">
        <v>488</v>
      </c>
      <c r="C4" s="429"/>
      <c r="D4" s="429"/>
      <c r="E4" s="429"/>
      <c r="F4" s="429"/>
      <c r="G4" s="429"/>
      <c r="H4" s="429"/>
      <c r="I4" s="430"/>
    </row>
    <row r="5" spans="1:9" ht="18.75" customHeight="1">
      <c r="A5" s="429">
        <v>1</v>
      </c>
      <c r="B5" s="447" t="s">
        <v>489</v>
      </c>
      <c r="C5" s="433">
        <v>15976</v>
      </c>
      <c r="D5" s="434">
        <v>140000</v>
      </c>
      <c r="E5" s="429">
        <v>1</v>
      </c>
      <c r="F5" s="429" t="s">
        <v>490</v>
      </c>
      <c r="G5" s="429" t="s">
        <v>491</v>
      </c>
      <c r="H5" s="429" t="s">
        <v>492</v>
      </c>
      <c r="I5" s="522" t="s">
        <v>898</v>
      </c>
    </row>
    <row r="6" spans="1:9" ht="18.75" customHeight="1">
      <c r="A6" s="429"/>
      <c r="B6" s="577" t="s">
        <v>33</v>
      </c>
      <c r="C6" s="576"/>
      <c r="D6" s="432">
        <f>SUM(D5)</f>
        <v>140000</v>
      </c>
      <c r="E6" s="429"/>
      <c r="F6" s="429"/>
      <c r="G6" s="429"/>
      <c r="H6" s="429"/>
      <c r="I6" s="430"/>
    </row>
    <row r="7" spans="1:9" ht="18.75" customHeight="1">
      <c r="A7" s="429"/>
      <c r="B7" s="487" t="s">
        <v>493</v>
      </c>
      <c r="C7" s="433"/>
      <c r="D7" s="434"/>
      <c r="E7" s="429"/>
      <c r="F7" s="429"/>
      <c r="G7" s="429"/>
      <c r="H7" s="429"/>
      <c r="I7" s="430"/>
    </row>
    <row r="8" spans="1:9" ht="18.75" customHeight="1">
      <c r="A8" s="429">
        <v>2</v>
      </c>
      <c r="B8" s="447" t="s">
        <v>494</v>
      </c>
      <c r="C8" s="433">
        <v>15559</v>
      </c>
      <c r="D8" s="434">
        <v>337000</v>
      </c>
      <c r="E8" s="429">
        <v>1</v>
      </c>
      <c r="F8" s="429" t="s">
        <v>490</v>
      </c>
      <c r="G8" s="429" t="s">
        <v>491</v>
      </c>
      <c r="H8" s="429" t="s">
        <v>495</v>
      </c>
      <c r="I8" s="430"/>
    </row>
    <row r="9" spans="1:9" ht="18.75" customHeight="1">
      <c r="A9" s="429"/>
      <c r="B9" s="577" t="s">
        <v>33</v>
      </c>
      <c r="C9" s="576"/>
      <c r="D9" s="432">
        <f>SUM(D8)</f>
        <v>337000</v>
      </c>
      <c r="E9" s="429"/>
      <c r="F9" s="429"/>
      <c r="G9" s="429"/>
      <c r="H9" s="429"/>
      <c r="I9" s="430"/>
    </row>
    <row r="10" spans="1:9" ht="18.75" customHeight="1">
      <c r="A10" s="429"/>
      <c r="B10" s="488" t="s">
        <v>496</v>
      </c>
      <c r="C10" s="433"/>
      <c r="D10" s="434"/>
      <c r="E10" s="429"/>
      <c r="F10" s="429"/>
      <c r="G10" s="429"/>
      <c r="H10" s="429"/>
      <c r="I10" s="430"/>
    </row>
    <row r="11" spans="1:9" ht="18.75" customHeight="1">
      <c r="A11" s="429">
        <v>1</v>
      </c>
      <c r="B11" s="444" t="s">
        <v>497</v>
      </c>
      <c r="C11" s="433">
        <v>16760</v>
      </c>
      <c r="D11" s="434">
        <v>523000</v>
      </c>
      <c r="E11" s="429">
        <v>1</v>
      </c>
      <c r="F11" s="429" t="s">
        <v>498</v>
      </c>
      <c r="G11" s="429" t="s">
        <v>491</v>
      </c>
      <c r="H11" s="429" t="s">
        <v>499</v>
      </c>
      <c r="I11" s="430"/>
    </row>
    <row r="12" spans="1:9" ht="18.75" customHeight="1">
      <c r="A12" s="429">
        <v>2</v>
      </c>
      <c r="B12" s="444" t="s">
        <v>500</v>
      </c>
      <c r="C12" s="433">
        <v>18991</v>
      </c>
      <c r="D12" s="434">
        <v>314500</v>
      </c>
      <c r="E12" s="429">
        <v>1</v>
      </c>
      <c r="F12" s="429" t="s">
        <v>498</v>
      </c>
      <c r="G12" s="429" t="s">
        <v>491</v>
      </c>
      <c r="H12" s="429" t="s">
        <v>501</v>
      </c>
      <c r="I12" s="430"/>
    </row>
    <row r="13" spans="1:9" ht="18.75" customHeight="1">
      <c r="A13" s="429">
        <v>3</v>
      </c>
      <c r="B13" s="444" t="s">
        <v>502</v>
      </c>
      <c r="C13" s="489">
        <v>21403</v>
      </c>
      <c r="D13" s="445">
        <v>1522000</v>
      </c>
      <c r="E13" s="429">
        <v>1</v>
      </c>
      <c r="F13" s="429" t="s">
        <v>503</v>
      </c>
      <c r="G13" s="429" t="s">
        <v>491</v>
      </c>
      <c r="H13" s="429" t="s">
        <v>504</v>
      </c>
      <c r="I13" s="523" t="s">
        <v>899</v>
      </c>
    </row>
    <row r="14" spans="1:9" ht="18.75" customHeight="1">
      <c r="A14" s="429"/>
      <c r="B14" s="577" t="s">
        <v>33</v>
      </c>
      <c r="C14" s="576"/>
      <c r="D14" s="432">
        <f>SUM(D11:D13)</f>
        <v>2359500</v>
      </c>
      <c r="E14" s="429"/>
      <c r="F14" s="429"/>
      <c r="G14" s="429"/>
      <c r="H14" s="429"/>
      <c r="I14" s="430"/>
    </row>
    <row r="15" spans="1:9" ht="18.75" customHeight="1">
      <c r="A15" s="429"/>
      <c r="B15" s="487" t="s">
        <v>505</v>
      </c>
      <c r="C15" s="431"/>
      <c r="D15" s="435"/>
      <c r="E15" s="429"/>
      <c r="F15" s="429"/>
      <c r="G15" s="429"/>
      <c r="H15" s="429"/>
      <c r="I15" s="430"/>
    </row>
    <row r="16" spans="1:9" ht="18.75" customHeight="1">
      <c r="A16" s="429">
        <v>1</v>
      </c>
      <c r="B16" s="444" t="s">
        <v>506</v>
      </c>
      <c r="C16" s="433">
        <v>19006</v>
      </c>
      <c r="D16" s="434">
        <v>338000</v>
      </c>
      <c r="E16" s="429">
        <v>1</v>
      </c>
      <c r="F16" s="429" t="s">
        <v>498</v>
      </c>
      <c r="G16" s="429" t="s">
        <v>491</v>
      </c>
      <c r="H16" s="429" t="s">
        <v>507</v>
      </c>
      <c r="I16" s="430"/>
    </row>
    <row r="17" spans="1:9" ht="18.75" customHeight="1">
      <c r="A17" s="436"/>
      <c r="B17" s="577" t="s">
        <v>33</v>
      </c>
      <c r="C17" s="576"/>
      <c r="D17" s="437">
        <f>SUM(D16)</f>
        <v>338000</v>
      </c>
      <c r="E17" s="490"/>
      <c r="F17" s="490"/>
      <c r="G17" s="490"/>
      <c r="H17" s="490"/>
      <c r="I17" s="491"/>
    </row>
    <row r="18" spans="1:9" ht="18.75" customHeight="1">
      <c r="A18" s="429"/>
      <c r="B18" s="428" t="s">
        <v>508</v>
      </c>
      <c r="C18" s="433"/>
      <c r="D18" s="434"/>
      <c r="E18" s="429"/>
      <c r="F18" s="429"/>
      <c r="G18" s="429"/>
      <c r="H18" s="429"/>
      <c r="I18" s="430"/>
    </row>
    <row r="19" spans="1:9" ht="18.75" customHeight="1">
      <c r="A19" s="429">
        <v>1</v>
      </c>
      <c r="B19" s="444" t="s">
        <v>509</v>
      </c>
      <c r="C19" s="433">
        <v>16843</v>
      </c>
      <c r="D19" s="434">
        <v>859630</v>
      </c>
      <c r="E19" s="429">
        <v>1</v>
      </c>
      <c r="F19" s="429" t="s">
        <v>498</v>
      </c>
      <c r="G19" s="429" t="s">
        <v>491</v>
      </c>
      <c r="H19" s="429" t="s">
        <v>510</v>
      </c>
      <c r="I19" s="524" t="s">
        <v>899</v>
      </c>
    </row>
    <row r="20" spans="1:9" ht="18.75" customHeight="1">
      <c r="A20" s="429">
        <v>2</v>
      </c>
      <c r="B20" s="444" t="s">
        <v>511</v>
      </c>
      <c r="C20" s="433">
        <v>17055</v>
      </c>
      <c r="D20" s="434">
        <v>247350</v>
      </c>
      <c r="E20" s="429">
        <v>1</v>
      </c>
      <c r="F20" s="429" t="s">
        <v>498</v>
      </c>
      <c r="G20" s="429" t="s">
        <v>491</v>
      </c>
      <c r="H20" s="429" t="s">
        <v>512</v>
      </c>
      <c r="I20" s="525"/>
    </row>
    <row r="21" spans="1:9" ht="18.75" customHeight="1">
      <c r="A21" s="429">
        <v>3</v>
      </c>
      <c r="B21" s="444" t="s">
        <v>513</v>
      </c>
      <c r="C21" s="433">
        <v>16843</v>
      </c>
      <c r="D21" s="434">
        <v>603570</v>
      </c>
      <c r="E21" s="429">
        <v>1</v>
      </c>
      <c r="F21" s="429" t="s">
        <v>498</v>
      </c>
      <c r="G21" s="429" t="s">
        <v>491</v>
      </c>
      <c r="H21" s="429" t="s">
        <v>514</v>
      </c>
      <c r="I21" s="430"/>
    </row>
    <row r="22" spans="1:9" ht="18.75" customHeight="1">
      <c r="A22" s="429">
        <v>4</v>
      </c>
      <c r="B22" s="444" t="s">
        <v>515</v>
      </c>
      <c r="C22" s="433">
        <v>20310</v>
      </c>
      <c r="D22" s="434">
        <v>663444</v>
      </c>
      <c r="E22" s="429">
        <v>1</v>
      </c>
      <c r="F22" s="429" t="s">
        <v>498</v>
      </c>
      <c r="G22" s="429" t="s">
        <v>491</v>
      </c>
      <c r="H22" s="429" t="s">
        <v>516</v>
      </c>
      <c r="I22" s="430"/>
    </row>
    <row r="23" spans="1:9" ht="18.75" customHeight="1">
      <c r="A23" s="429"/>
      <c r="B23" s="577" t="s">
        <v>33</v>
      </c>
      <c r="C23" s="576"/>
      <c r="D23" s="432">
        <f>SUM(D19:D22)</f>
        <v>2373994</v>
      </c>
      <c r="E23" s="429"/>
      <c r="F23" s="429"/>
      <c r="G23" s="429"/>
      <c r="H23" s="429"/>
      <c r="I23" s="438"/>
    </row>
    <row r="24" spans="1:9" ht="18.75" customHeight="1">
      <c r="A24" s="429"/>
      <c r="B24" s="487" t="s">
        <v>517</v>
      </c>
      <c r="C24" s="433"/>
      <c r="D24" s="434"/>
      <c r="E24" s="429"/>
      <c r="F24" s="429"/>
      <c r="G24" s="429"/>
      <c r="H24" s="429"/>
      <c r="I24" s="430"/>
    </row>
    <row r="25" spans="1:9" ht="18.75" customHeight="1">
      <c r="A25" s="429">
        <v>1</v>
      </c>
      <c r="B25" s="492" t="s">
        <v>518</v>
      </c>
      <c r="C25" s="433" t="s">
        <v>519</v>
      </c>
      <c r="D25" s="434">
        <v>92000</v>
      </c>
      <c r="E25" s="429">
        <v>1</v>
      </c>
      <c r="F25" s="429" t="s">
        <v>498</v>
      </c>
      <c r="G25" s="429" t="s">
        <v>491</v>
      </c>
      <c r="H25" s="429" t="s">
        <v>520</v>
      </c>
      <c r="I25" s="430"/>
    </row>
    <row r="26" spans="1:9" ht="18.75" customHeight="1">
      <c r="A26" s="429">
        <v>2</v>
      </c>
      <c r="B26" s="444" t="s">
        <v>521</v>
      </c>
      <c r="C26" s="433">
        <v>18991</v>
      </c>
      <c r="D26" s="434">
        <v>325500</v>
      </c>
      <c r="E26" s="429">
        <v>1</v>
      </c>
      <c r="F26" s="429" t="s">
        <v>498</v>
      </c>
      <c r="G26" s="429" t="s">
        <v>491</v>
      </c>
      <c r="H26" s="429" t="s">
        <v>522</v>
      </c>
      <c r="I26" s="430"/>
    </row>
    <row r="27" spans="1:9" ht="18.75" customHeight="1">
      <c r="A27" s="429"/>
      <c r="B27" s="577" t="s">
        <v>33</v>
      </c>
      <c r="C27" s="576"/>
      <c r="D27" s="432">
        <f>SUM(D25:D26)</f>
        <v>417500</v>
      </c>
      <c r="E27" s="429"/>
      <c r="F27" s="429"/>
      <c r="G27" s="429"/>
      <c r="H27" s="429"/>
      <c r="I27" s="430"/>
    </row>
    <row r="28" spans="1:9" ht="18.75" customHeight="1">
      <c r="A28" s="429"/>
      <c r="B28" s="428" t="s">
        <v>523</v>
      </c>
      <c r="C28" s="433"/>
      <c r="D28" s="434"/>
      <c r="E28" s="429"/>
      <c r="F28" s="429"/>
      <c r="G28" s="429"/>
      <c r="H28" s="429"/>
      <c r="I28" s="430"/>
    </row>
    <row r="29" spans="1:9" ht="18.75" customHeight="1">
      <c r="A29" s="429">
        <v>1</v>
      </c>
      <c r="B29" s="444" t="s">
        <v>524</v>
      </c>
      <c r="C29" s="433">
        <v>18973</v>
      </c>
      <c r="D29" s="434">
        <v>129500</v>
      </c>
      <c r="E29" s="429">
        <v>1</v>
      </c>
      <c r="F29" s="429" t="s">
        <v>498</v>
      </c>
      <c r="G29" s="429" t="s">
        <v>491</v>
      </c>
      <c r="H29" s="429" t="s">
        <v>525</v>
      </c>
      <c r="I29" s="430"/>
    </row>
    <row r="30" spans="1:9" ht="18.75" customHeight="1">
      <c r="A30" s="429">
        <v>2</v>
      </c>
      <c r="B30" s="444" t="s">
        <v>526</v>
      </c>
      <c r="C30" s="433">
        <v>15803</v>
      </c>
      <c r="D30" s="434">
        <v>20000</v>
      </c>
      <c r="E30" s="429">
        <v>1</v>
      </c>
      <c r="F30" s="429" t="s">
        <v>503</v>
      </c>
      <c r="G30" s="429" t="s">
        <v>527</v>
      </c>
      <c r="H30" s="429" t="s">
        <v>528</v>
      </c>
      <c r="I30" s="430"/>
    </row>
    <row r="31" spans="1:9" ht="18.75" customHeight="1">
      <c r="A31" s="429"/>
      <c r="B31" s="578" t="s">
        <v>33</v>
      </c>
      <c r="C31" s="578"/>
      <c r="D31" s="432">
        <f>SUM(D29:D30)</f>
        <v>149500</v>
      </c>
      <c r="E31" s="429"/>
      <c r="F31" s="429"/>
      <c r="G31" s="429"/>
      <c r="H31" s="429"/>
      <c r="I31" s="430"/>
    </row>
    <row r="32" spans="1:10" ht="18.75" customHeight="1">
      <c r="A32" s="429"/>
      <c r="B32" s="577" t="s">
        <v>529</v>
      </c>
      <c r="C32" s="576"/>
      <c r="D32" s="439">
        <f>+D31+D27+D23+D17+D14+D9+D6</f>
        <v>6115494</v>
      </c>
      <c r="E32" s="429"/>
      <c r="F32" s="429"/>
      <c r="G32" s="429"/>
      <c r="H32" s="429"/>
      <c r="I32" s="430"/>
      <c r="J32" s="440"/>
    </row>
    <row r="33" spans="1:9" ht="18.75" customHeight="1">
      <c r="A33" s="441"/>
      <c r="B33" s="442" t="s">
        <v>530</v>
      </c>
      <c r="C33" s="441"/>
      <c r="D33" s="441"/>
      <c r="E33" s="441"/>
      <c r="F33" s="441"/>
      <c r="G33" s="441"/>
      <c r="H33" s="441"/>
      <c r="I33" s="443"/>
    </row>
    <row r="34" spans="1:9" ht="18.75" customHeight="1">
      <c r="A34" s="429"/>
      <c r="B34" s="428" t="s">
        <v>531</v>
      </c>
      <c r="C34" s="429"/>
      <c r="D34" s="429"/>
      <c r="E34" s="429"/>
      <c r="F34" s="429"/>
      <c r="G34" s="429"/>
      <c r="H34" s="429"/>
      <c r="I34" s="430"/>
    </row>
    <row r="35" spans="1:9" ht="18.75" customHeight="1">
      <c r="A35" s="429">
        <v>1</v>
      </c>
      <c r="B35" s="444" t="s">
        <v>532</v>
      </c>
      <c r="C35" s="433">
        <v>14452</v>
      </c>
      <c r="D35" s="445">
        <v>4000</v>
      </c>
      <c r="E35" s="429">
        <v>1</v>
      </c>
      <c r="F35" s="429" t="s">
        <v>503</v>
      </c>
      <c r="G35" s="429" t="s">
        <v>527</v>
      </c>
      <c r="H35" s="429" t="s">
        <v>533</v>
      </c>
      <c r="I35" s="446"/>
    </row>
    <row r="36" spans="1:9" ht="18.75" customHeight="1">
      <c r="A36" s="429">
        <v>2</v>
      </c>
      <c r="B36" s="444" t="s">
        <v>534</v>
      </c>
      <c r="C36" s="433">
        <v>14452</v>
      </c>
      <c r="D36" s="445">
        <v>4600</v>
      </c>
      <c r="E36" s="429">
        <v>2</v>
      </c>
      <c r="F36" s="429" t="s">
        <v>503</v>
      </c>
      <c r="G36" s="429" t="s">
        <v>527</v>
      </c>
      <c r="H36" s="429" t="s">
        <v>535</v>
      </c>
      <c r="I36" s="446"/>
    </row>
    <row r="37" spans="1:9" ht="18.75" customHeight="1">
      <c r="A37" s="429">
        <v>3</v>
      </c>
      <c r="B37" s="444" t="s">
        <v>536</v>
      </c>
      <c r="C37" s="433">
        <v>14463</v>
      </c>
      <c r="D37" s="445">
        <v>14003</v>
      </c>
      <c r="E37" s="429">
        <v>11</v>
      </c>
      <c r="F37" s="429" t="s">
        <v>503</v>
      </c>
      <c r="G37" s="429" t="s">
        <v>527</v>
      </c>
      <c r="H37" s="429" t="s">
        <v>537</v>
      </c>
      <c r="I37" s="446"/>
    </row>
    <row r="38" spans="1:9" ht="18.75" customHeight="1">
      <c r="A38" s="429">
        <v>4</v>
      </c>
      <c r="B38" s="444" t="s">
        <v>538</v>
      </c>
      <c r="C38" s="433">
        <v>14723</v>
      </c>
      <c r="D38" s="445">
        <v>12000</v>
      </c>
      <c r="E38" s="429">
        <v>3</v>
      </c>
      <c r="F38" s="429" t="s">
        <v>503</v>
      </c>
      <c r="G38" s="429" t="s">
        <v>527</v>
      </c>
      <c r="H38" s="429" t="s">
        <v>539</v>
      </c>
      <c r="I38" s="446"/>
    </row>
    <row r="39" spans="1:9" ht="18.75" customHeight="1">
      <c r="A39" s="429">
        <v>5</v>
      </c>
      <c r="B39" s="447" t="s">
        <v>540</v>
      </c>
      <c r="C39" s="433">
        <v>15235</v>
      </c>
      <c r="D39" s="445">
        <v>6400</v>
      </c>
      <c r="E39" s="429">
        <v>4</v>
      </c>
      <c r="F39" s="429" t="s">
        <v>503</v>
      </c>
      <c r="G39" s="429" t="s">
        <v>527</v>
      </c>
      <c r="H39" s="429" t="s">
        <v>541</v>
      </c>
      <c r="I39" s="493"/>
    </row>
    <row r="40" spans="1:9" ht="18.75" customHeight="1">
      <c r="A40" s="429">
        <v>6</v>
      </c>
      <c r="B40" s="447" t="s">
        <v>542</v>
      </c>
      <c r="C40" s="433">
        <v>15834</v>
      </c>
      <c r="D40" s="445">
        <v>2600</v>
      </c>
      <c r="E40" s="429">
        <v>1</v>
      </c>
      <c r="F40" s="429" t="s">
        <v>503</v>
      </c>
      <c r="G40" s="429" t="s">
        <v>527</v>
      </c>
      <c r="H40" s="429" t="s">
        <v>543</v>
      </c>
      <c r="I40" s="446"/>
    </row>
    <row r="41" spans="1:9" ht="18.75" customHeight="1">
      <c r="A41" s="429">
        <v>7</v>
      </c>
      <c r="B41" s="448" t="s">
        <v>544</v>
      </c>
      <c r="C41" s="449">
        <v>16710</v>
      </c>
      <c r="D41" s="450">
        <v>3794</v>
      </c>
      <c r="E41" s="451">
        <v>7</v>
      </c>
      <c r="F41" s="429" t="s">
        <v>503</v>
      </c>
      <c r="G41" s="451" t="s">
        <v>527</v>
      </c>
      <c r="H41" s="452" t="s">
        <v>545</v>
      </c>
      <c r="I41" s="453"/>
    </row>
    <row r="42" spans="1:9" ht="18.75" customHeight="1">
      <c r="A42" s="429">
        <v>8</v>
      </c>
      <c r="B42" s="447" t="s">
        <v>546</v>
      </c>
      <c r="C42" s="433">
        <v>17670</v>
      </c>
      <c r="D42" s="445">
        <v>2000</v>
      </c>
      <c r="E42" s="429">
        <v>1</v>
      </c>
      <c r="F42" s="429" t="s">
        <v>547</v>
      </c>
      <c r="G42" s="429" t="s">
        <v>527</v>
      </c>
      <c r="H42" s="429" t="s">
        <v>548</v>
      </c>
      <c r="I42" s="446"/>
    </row>
    <row r="43" spans="1:9" ht="18.75" customHeight="1">
      <c r="A43" s="429">
        <v>9</v>
      </c>
      <c r="B43" s="447" t="s">
        <v>546</v>
      </c>
      <c r="C43" s="433">
        <v>17670</v>
      </c>
      <c r="D43" s="445">
        <v>2000</v>
      </c>
      <c r="E43" s="429">
        <v>1</v>
      </c>
      <c r="F43" s="429" t="s">
        <v>498</v>
      </c>
      <c r="G43" s="429" t="s">
        <v>527</v>
      </c>
      <c r="H43" s="429" t="s">
        <v>549</v>
      </c>
      <c r="I43" s="446"/>
    </row>
    <row r="44" spans="1:9" ht="18.75" customHeight="1">
      <c r="A44" s="429">
        <v>10</v>
      </c>
      <c r="B44" s="447" t="s">
        <v>550</v>
      </c>
      <c r="C44" s="433">
        <v>17685</v>
      </c>
      <c r="D44" s="445">
        <v>13000</v>
      </c>
      <c r="E44" s="429">
        <v>5</v>
      </c>
      <c r="F44" s="429" t="s">
        <v>503</v>
      </c>
      <c r="G44" s="429" t="s">
        <v>527</v>
      </c>
      <c r="H44" s="429" t="s">
        <v>551</v>
      </c>
      <c r="I44" s="446"/>
    </row>
    <row r="45" spans="1:9" ht="18.75" customHeight="1">
      <c r="A45" s="429">
        <v>11</v>
      </c>
      <c r="B45" s="447" t="s">
        <v>552</v>
      </c>
      <c r="C45" s="433">
        <v>17747</v>
      </c>
      <c r="D45" s="445">
        <v>2000</v>
      </c>
      <c r="E45" s="429">
        <v>1</v>
      </c>
      <c r="F45" s="429" t="s">
        <v>503</v>
      </c>
      <c r="G45" s="429" t="s">
        <v>527</v>
      </c>
      <c r="H45" s="429" t="s">
        <v>553</v>
      </c>
      <c r="I45" s="446"/>
    </row>
    <row r="46" spans="1:9" ht="18.75" customHeight="1">
      <c r="A46" s="429">
        <v>12</v>
      </c>
      <c r="B46" s="444" t="s">
        <v>552</v>
      </c>
      <c r="C46" s="433">
        <v>17747</v>
      </c>
      <c r="D46" s="445">
        <v>2000</v>
      </c>
      <c r="E46" s="429">
        <v>1</v>
      </c>
      <c r="F46" s="429" t="s">
        <v>503</v>
      </c>
      <c r="G46" s="429" t="s">
        <v>554</v>
      </c>
      <c r="H46" s="429" t="s">
        <v>555</v>
      </c>
      <c r="I46" s="446"/>
    </row>
    <row r="47" spans="1:9" ht="18.75" customHeight="1">
      <c r="A47" s="429">
        <v>13</v>
      </c>
      <c r="B47" s="444" t="s">
        <v>556</v>
      </c>
      <c r="C47" s="433">
        <v>18506</v>
      </c>
      <c r="D47" s="445">
        <v>6000</v>
      </c>
      <c r="E47" s="429">
        <v>5</v>
      </c>
      <c r="F47" s="429" t="s">
        <v>503</v>
      </c>
      <c r="G47" s="429" t="s">
        <v>527</v>
      </c>
      <c r="H47" s="429" t="s">
        <v>557</v>
      </c>
      <c r="I47" s="446"/>
    </row>
    <row r="48" spans="1:9" ht="18.75" customHeight="1">
      <c r="A48" s="429">
        <v>14</v>
      </c>
      <c r="B48" s="444" t="s">
        <v>542</v>
      </c>
      <c r="C48" s="433">
        <v>18666</v>
      </c>
      <c r="D48" s="445">
        <v>2200</v>
      </c>
      <c r="E48" s="429">
        <v>1</v>
      </c>
      <c r="F48" s="429" t="s">
        <v>503</v>
      </c>
      <c r="G48" s="429" t="s">
        <v>491</v>
      </c>
      <c r="H48" s="429" t="s">
        <v>558</v>
      </c>
      <c r="I48" s="446"/>
    </row>
    <row r="49" spans="1:9" ht="18.75" customHeight="1">
      <c r="A49" s="429">
        <v>15</v>
      </c>
      <c r="B49" s="444" t="s">
        <v>542</v>
      </c>
      <c r="C49" s="433">
        <v>18666</v>
      </c>
      <c r="D49" s="445">
        <v>2200</v>
      </c>
      <c r="E49" s="429">
        <v>1</v>
      </c>
      <c r="F49" s="429" t="s">
        <v>547</v>
      </c>
      <c r="G49" s="429" t="s">
        <v>491</v>
      </c>
      <c r="H49" s="429" t="s">
        <v>559</v>
      </c>
      <c r="I49" s="446"/>
    </row>
    <row r="50" spans="1:9" ht="18.75" customHeight="1">
      <c r="A50" s="429">
        <v>16</v>
      </c>
      <c r="B50" s="444" t="s">
        <v>560</v>
      </c>
      <c r="C50" s="433">
        <v>19135</v>
      </c>
      <c r="D50" s="445">
        <v>15920</v>
      </c>
      <c r="E50" s="429">
        <v>4</v>
      </c>
      <c r="F50" s="429" t="s">
        <v>503</v>
      </c>
      <c r="G50" s="429" t="s">
        <v>527</v>
      </c>
      <c r="H50" s="454" t="s">
        <v>561</v>
      </c>
      <c r="I50" s="446"/>
    </row>
    <row r="51" spans="1:9" ht="18.75" customHeight="1">
      <c r="A51" s="429">
        <v>17</v>
      </c>
      <c r="B51" s="444" t="s">
        <v>562</v>
      </c>
      <c r="C51" s="433">
        <v>19328</v>
      </c>
      <c r="D51" s="445">
        <v>2400</v>
      </c>
      <c r="E51" s="429">
        <v>2</v>
      </c>
      <c r="F51" s="429" t="s">
        <v>503</v>
      </c>
      <c r="G51" s="482" t="s">
        <v>563</v>
      </c>
      <c r="H51" s="429" t="s">
        <v>564</v>
      </c>
      <c r="I51" s="522" t="s">
        <v>898</v>
      </c>
    </row>
    <row r="52" spans="1:9" ht="18.75" customHeight="1">
      <c r="A52" s="429">
        <v>18</v>
      </c>
      <c r="B52" s="455" t="s">
        <v>562</v>
      </c>
      <c r="C52" s="456">
        <v>19328</v>
      </c>
      <c r="D52" s="457">
        <v>1200</v>
      </c>
      <c r="E52" s="458">
        <v>1</v>
      </c>
      <c r="F52" s="458" t="s">
        <v>547</v>
      </c>
      <c r="G52" s="483" t="s">
        <v>563</v>
      </c>
      <c r="H52" s="458" t="s">
        <v>565</v>
      </c>
      <c r="I52" s="522" t="s">
        <v>898</v>
      </c>
    </row>
    <row r="53" spans="1:9" ht="18.75" customHeight="1">
      <c r="A53" s="429">
        <v>19</v>
      </c>
      <c r="B53" s="444" t="s">
        <v>566</v>
      </c>
      <c r="C53" s="433">
        <v>19267</v>
      </c>
      <c r="D53" s="445">
        <v>4800</v>
      </c>
      <c r="E53" s="429">
        <v>1</v>
      </c>
      <c r="F53" s="429" t="s">
        <v>503</v>
      </c>
      <c r="G53" s="482" t="s">
        <v>563</v>
      </c>
      <c r="H53" s="429" t="s">
        <v>567</v>
      </c>
      <c r="I53" s="522" t="s">
        <v>898</v>
      </c>
    </row>
    <row r="54" spans="1:9" ht="18.75" customHeight="1">
      <c r="A54" s="429">
        <v>20</v>
      </c>
      <c r="B54" s="444" t="s">
        <v>566</v>
      </c>
      <c r="C54" s="433">
        <v>19664</v>
      </c>
      <c r="D54" s="445">
        <v>2600</v>
      </c>
      <c r="E54" s="429">
        <v>2</v>
      </c>
      <c r="F54" s="429" t="s">
        <v>568</v>
      </c>
      <c r="G54" s="482" t="s">
        <v>563</v>
      </c>
      <c r="H54" s="429" t="s">
        <v>569</v>
      </c>
      <c r="I54" s="522" t="s">
        <v>898</v>
      </c>
    </row>
    <row r="55" spans="1:9" ht="18.75" customHeight="1">
      <c r="A55" s="429">
        <v>21</v>
      </c>
      <c r="B55" s="444" t="s">
        <v>566</v>
      </c>
      <c r="C55" s="433">
        <v>19664</v>
      </c>
      <c r="D55" s="445">
        <v>1950</v>
      </c>
      <c r="E55" s="429">
        <v>1</v>
      </c>
      <c r="F55" s="429" t="s">
        <v>503</v>
      </c>
      <c r="G55" s="482" t="s">
        <v>563</v>
      </c>
      <c r="H55" s="429" t="s">
        <v>570</v>
      </c>
      <c r="I55" s="522" t="s">
        <v>898</v>
      </c>
    </row>
    <row r="56" spans="1:9" ht="18.75" customHeight="1">
      <c r="A56" s="429">
        <v>22</v>
      </c>
      <c r="B56" s="444" t="s">
        <v>546</v>
      </c>
      <c r="C56" s="433">
        <v>20316</v>
      </c>
      <c r="D56" s="445">
        <v>3300</v>
      </c>
      <c r="E56" s="429">
        <v>1</v>
      </c>
      <c r="F56" s="429" t="s">
        <v>498</v>
      </c>
      <c r="G56" s="429" t="s">
        <v>491</v>
      </c>
      <c r="H56" s="429" t="s">
        <v>571</v>
      </c>
      <c r="I56" s="446"/>
    </row>
    <row r="57" spans="1:9" ht="18.75" customHeight="1">
      <c r="A57" s="429">
        <v>23</v>
      </c>
      <c r="B57" s="444" t="s">
        <v>546</v>
      </c>
      <c r="C57" s="433">
        <v>20696</v>
      </c>
      <c r="D57" s="445">
        <v>750</v>
      </c>
      <c r="E57" s="429">
        <v>1</v>
      </c>
      <c r="F57" s="429" t="s">
        <v>572</v>
      </c>
      <c r="G57" s="429" t="s">
        <v>527</v>
      </c>
      <c r="H57" s="429" t="s">
        <v>573</v>
      </c>
      <c r="I57" s="446"/>
    </row>
    <row r="58" spans="1:9" ht="18.75" customHeight="1">
      <c r="A58" s="429">
        <v>24</v>
      </c>
      <c r="B58" s="444" t="s">
        <v>574</v>
      </c>
      <c r="C58" s="433">
        <v>20709</v>
      </c>
      <c r="D58" s="445">
        <v>21900</v>
      </c>
      <c r="E58" s="429">
        <v>1</v>
      </c>
      <c r="F58" s="429" t="s">
        <v>503</v>
      </c>
      <c r="G58" s="429" t="s">
        <v>527</v>
      </c>
      <c r="H58" s="429" t="s">
        <v>575</v>
      </c>
      <c r="I58" s="446"/>
    </row>
    <row r="59" spans="1:9" ht="18.75" customHeight="1">
      <c r="A59" s="429">
        <v>25</v>
      </c>
      <c r="B59" s="444" t="s">
        <v>576</v>
      </c>
      <c r="C59" s="433">
        <v>20792</v>
      </c>
      <c r="D59" s="445">
        <v>16500</v>
      </c>
      <c r="E59" s="429">
        <v>1</v>
      </c>
      <c r="F59" s="429" t="s">
        <v>503</v>
      </c>
      <c r="G59" s="429" t="s">
        <v>527</v>
      </c>
      <c r="H59" s="429" t="s">
        <v>577</v>
      </c>
      <c r="I59" s="446"/>
    </row>
    <row r="60" spans="1:9" ht="18.75" customHeight="1">
      <c r="A60" s="429">
        <v>26</v>
      </c>
      <c r="B60" s="444" t="s">
        <v>576</v>
      </c>
      <c r="C60" s="433">
        <v>20792</v>
      </c>
      <c r="D60" s="445">
        <v>94800</v>
      </c>
      <c r="E60" s="429">
        <v>12</v>
      </c>
      <c r="F60" s="429" t="s">
        <v>503</v>
      </c>
      <c r="G60" s="429" t="s">
        <v>527</v>
      </c>
      <c r="H60" s="429" t="s">
        <v>578</v>
      </c>
      <c r="I60" s="446"/>
    </row>
    <row r="61" spans="1:9" ht="18.75" customHeight="1">
      <c r="A61" s="429">
        <v>27</v>
      </c>
      <c r="B61" s="444" t="s">
        <v>579</v>
      </c>
      <c r="C61" s="433">
        <v>20816</v>
      </c>
      <c r="D61" s="445">
        <v>27120</v>
      </c>
      <c r="E61" s="429">
        <v>8</v>
      </c>
      <c r="F61" s="429" t="s">
        <v>580</v>
      </c>
      <c r="G61" s="429" t="s">
        <v>527</v>
      </c>
      <c r="H61" s="454" t="s">
        <v>581</v>
      </c>
      <c r="I61" s="446"/>
    </row>
    <row r="62" spans="1:9" ht="18.75" customHeight="1">
      <c r="A62" s="429">
        <v>28</v>
      </c>
      <c r="B62" s="444" t="s">
        <v>546</v>
      </c>
      <c r="C62" s="433">
        <v>21400</v>
      </c>
      <c r="D62" s="445">
        <v>4990</v>
      </c>
      <c r="E62" s="429">
        <v>1</v>
      </c>
      <c r="F62" s="429" t="s">
        <v>503</v>
      </c>
      <c r="G62" s="429" t="s">
        <v>527</v>
      </c>
      <c r="H62" s="429" t="s">
        <v>582</v>
      </c>
      <c r="I62" s="446"/>
    </row>
    <row r="63" spans="1:9" ht="18.75" customHeight="1">
      <c r="A63" s="429">
        <v>29</v>
      </c>
      <c r="B63" s="444" t="s">
        <v>546</v>
      </c>
      <c r="C63" s="433">
        <v>21400</v>
      </c>
      <c r="D63" s="445">
        <v>4990</v>
      </c>
      <c r="E63" s="429">
        <v>1</v>
      </c>
      <c r="F63" s="429" t="s">
        <v>572</v>
      </c>
      <c r="G63" s="429" t="s">
        <v>527</v>
      </c>
      <c r="H63" s="429" t="s">
        <v>583</v>
      </c>
      <c r="I63" s="446"/>
    </row>
    <row r="64" spans="1:10" ht="18.75" customHeight="1">
      <c r="A64" s="429">
        <v>30</v>
      </c>
      <c r="B64" s="444" t="s">
        <v>546</v>
      </c>
      <c r="C64" s="433">
        <v>21396</v>
      </c>
      <c r="D64" s="445">
        <v>4990</v>
      </c>
      <c r="E64" s="429">
        <v>1</v>
      </c>
      <c r="F64" s="429" t="s">
        <v>572</v>
      </c>
      <c r="G64" s="429" t="s">
        <v>527</v>
      </c>
      <c r="H64" s="429" t="s">
        <v>584</v>
      </c>
      <c r="I64" s="446"/>
      <c r="J64" s="460"/>
    </row>
    <row r="65" spans="1:9" ht="18.75" customHeight="1">
      <c r="A65" s="429">
        <v>31</v>
      </c>
      <c r="B65" s="444" t="s">
        <v>585</v>
      </c>
      <c r="C65" s="433">
        <v>14463</v>
      </c>
      <c r="D65" s="445">
        <v>600</v>
      </c>
      <c r="E65" s="429">
        <v>1</v>
      </c>
      <c r="F65" s="429" t="s">
        <v>503</v>
      </c>
      <c r="G65" s="429" t="s">
        <v>527</v>
      </c>
      <c r="H65" s="429" t="s">
        <v>586</v>
      </c>
      <c r="I65" s="446"/>
    </row>
    <row r="66" spans="1:9" ht="18.75" customHeight="1">
      <c r="A66" s="429">
        <v>32</v>
      </c>
      <c r="B66" s="444" t="s">
        <v>587</v>
      </c>
      <c r="C66" s="433">
        <v>14463</v>
      </c>
      <c r="D66" s="434">
        <v>3900</v>
      </c>
      <c r="E66" s="429">
        <v>6</v>
      </c>
      <c r="F66" s="429" t="s">
        <v>503</v>
      </c>
      <c r="G66" s="429" t="s">
        <v>527</v>
      </c>
      <c r="H66" s="462" t="s">
        <v>588</v>
      </c>
      <c r="I66" s="446"/>
    </row>
    <row r="67" spans="1:9" ht="18.75" customHeight="1">
      <c r="A67" s="429">
        <v>33</v>
      </c>
      <c r="B67" s="444" t="s">
        <v>589</v>
      </c>
      <c r="C67" s="433">
        <v>15235</v>
      </c>
      <c r="D67" s="445">
        <v>1400</v>
      </c>
      <c r="E67" s="429">
        <v>2</v>
      </c>
      <c r="F67" s="429" t="s">
        <v>503</v>
      </c>
      <c r="G67" s="429" t="s">
        <v>527</v>
      </c>
      <c r="H67" s="429" t="s">
        <v>590</v>
      </c>
      <c r="I67" s="493"/>
    </row>
    <row r="68" spans="1:9" ht="18.75" customHeight="1">
      <c r="A68" s="429">
        <v>34</v>
      </c>
      <c r="B68" s="444" t="s">
        <v>591</v>
      </c>
      <c r="C68" s="433">
        <v>16710</v>
      </c>
      <c r="D68" s="445">
        <v>4389</v>
      </c>
      <c r="E68" s="429">
        <v>77</v>
      </c>
      <c r="F68" s="429" t="s">
        <v>503</v>
      </c>
      <c r="G68" s="429" t="s">
        <v>527</v>
      </c>
      <c r="H68" s="462" t="s">
        <v>592</v>
      </c>
      <c r="I68" s="446"/>
    </row>
    <row r="69" spans="1:9" ht="18.75" customHeight="1">
      <c r="A69" s="429">
        <v>35</v>
      </c>
      <c r="B69" s="444" t="s">
        <v>593</v>
      </c>
      <c r="C69" s="433">
        <v>16706</v>
      </c>
      <c r="D69" s="481">
        <v>0</v>
      </c>
      <c r="E69" s="429">
        <v>2</v>
      </c>
      <c r="F69" s="429" t="s">
        <v>503</v>
      </c>
      <c r="G69" s="482" t="s">
        <v>563</v>
      </c>
      <c r="H69" s="429" t="s">
        <v>594</v>
      </c>
      <c r="I69" s="522" t="s">
        <v>898</v>
      </c>
    </row>
    <row r="70" spans="1:9" ht="18.75" customHeight="1">
      <c r="A70" s="429">
        <v>36</v>
      </c>
      <c r="B70" s="444" t="s">
        <v>595</v>
      </c>
      <c r="C70" s="433">
        <v>17068</v>
      </c>
      <c r="D70" s="463">
        <v>700</v>
      </c>
      <c r="E70" s="429">
        <v>1</v>
      </c>
      <c r="F70" s="429" t="s">
        <v>503</v>
      </c>
      <c r="G70" s="429" t="s">
        <v>527</v>
      </c>
      <c r="H70" s="429" t="s">
        <v>596</v>
      </c>
      <c r="I70" s="446"/>
    </row>
    <row r="71" spans="1:9" ht="18.75" customHeight="1">
      <c r="A71" s="429">
        <v>37</v>
      </c>
      <c r="B71" s="444" t="s">
        <v>597</v>
      </c>
      <c r="C71" s="433">
        <v>17685</v>
      </c>
      <c r="D71" s="445">
        <v>580</v>
      </c>
      <c r="E71" s="429">
        <v>1</v>
      </c>
      <c r="F71" s="429" t="s">
        <v>503</v>
      </c>
      <c r="G71" s="429" t="s">
        <v>527</v>
      </c>
      <c r="H71" s="429" t="s">
        <v>598</v>
      </c>
      <c r="I71" s="446"/>
    </row>
    <row r="72" spans="1:9" ht="18.75" customHeight="1">
      <c r="A72" s="429">
        <v>38</v>
      </c>
      <c r="B72" s="444" t="s">
        <v>599</v>
      </c>
      <c r="C72" s="429" t="s">
        <v>600</v>
      </c>
      <c r="D72" s="445">
        <v>1200</v>
      </c>
      <c r="E72" s="429">
        <v>1</v>
      </c>
      <c r="F72" s="429" t="s">
        <v>503</v>
      </c>
      <c r="G72" s="429" t="s">
        <v>527</v>
      </c>
      <c r="H72" s="429" t="s">
        <v>601</v>
      </c>
      <c r="I72" s="446"/>
    </row>
    <row r="73" spans="1:9" ht="18.75" customHeight="1">
      <c r="A73" s="429">
        <v>39</v>
      </c>
      <c r="B73" s="444" t="s">
        <v>595</v>
      </c>
      <c r="C73" s="433">
        <v>18666</v>
      </c>
      <c r="D73" s="463">
        <v>900</v>
      </c>
      <c r="E73" s="429">
        <v>1</v>
      </c>
      <c r="F73" s="429" t="s">
        <v>547</v>
      </c>
      <c r="G73" s="429" t="s">
        <v>527</v>
      </c>
      <c r="H73" s="429" t="s">
        <v>602</v>
      </c>
      <c r="I73" s="446"/>
    </row>
    <row r="74" spans="1:9" ht="18.75" customHeight="1">
      <c r="A74" s="429">
        <v>40</v>
      </c>
      <c r="B74" s="444" t="s">
        <v>603</v>
      </c>
      <c r="C74" s="433">
        <v>19135</v>
      </c>
      <c r="D74" s="445">
        <v>2880</v>
      </c>
      <c r="E74" s="429">
        <v>24</v>
      </c>
      <c r="F74" s="429" t="s">
        <v>503</v>
      </c>
      <c r="G74" s="429" t="s">
        <v>527</v>
      </c>
      <c r="H74" s="429" t="s">
        <v>604</v>
      </c>
      <c r="I74" s="446"/>
    </row>
    <row r="75" spans="1:9" ht="18.75" customHeight="1">
      <c r="A75" s="429">
        <v>41</v>
      </c>
      <c r="B75" s="444" t="s">
        <v>605</v>
      </c>
      <c r="C75" s="433">
        <v>19323</v>
      </c>
      <c r="D75" s="445">
        <v>2400</v>
      </c>
      <c r="E75" s="429">
        <v>3</v>
      </c>
      <c r="F75" s="429" t="s">
        <v>547</v>
      </c>
      <c r="G75" s="482" t="s">
        <v>563</v>
      </c>
      <c r="H75" s="429" t="s">
        <v>606</v>
      </c>
      <c r="I75" s="522" t="s">
        <v>898</v>
      </c>
    </row>
    <row r="76" spans="1:9" ht="18.75" customHeight="1">
      <c r="A76" s="429">
        <v>42</v>
      </c>
      <c r="B76" s="444" t="s">
        <v>605</v>
      </c>
      <c r="C76" s="433">
        <v>19267</v>
      </c>
      <c r="D76" s="445">
        <v>1200</v>
      </c>
      <c r="E76" s="429">
        <v>1</v>
      </c>
      <c r="F76" s="429" t="s">
        <v>503</v>
      </c>
      <c r="G76" s="482" t="s">
        <v>563</v>
      </c>
      <c r="H76" s="429" t="s">
        <v>607</v>
      </c>
      <c r="I76" s="522" t="s">
        <v>898</v>
      </c>
    </row>
    <row r="77" spans="1:9" ht="18.75" customHeight="1">
      <c r="A77" s="429">
        <v>43</v>
      </c>
      <c r="B77" s="444" t="s">
        <v>605</v>
      </c>
      <c r="C77" s="433">
        <v>20316</v>
      </c>
      <c r="D77" s="445">
        <v>1500</v>
      </c>
      <c r="E77" s="429">
        <v>1</v>
      </c>
      <c r="F77" s="429" t="s">
        <v>498</v>
      </c>
      <c r="G77" s="429" t="s">
        <v>491</v>
      </c>
      <c r="H77" s="429" t="s">
        <v>608</v>
      </c>
      <c r="I77" s="446"/>
    </row>
    <row r="78" spans="1:9" ht="18.75" customHeight="1">
      <c r="A78" s="429">
        <v>44</v>
      </c>
      <c r="B78" s="444" t="s">
        <v>605</v>
      </c>
      <c r="C78" s="433">
        <v>20696</v>
      </c>
      <c r="D78" s="445">
        <v>14250</v>
      </c>
      <c r="E78" s="429">
        <v>3</v>
      </c>
      <c r="F78" s="429" t="s">
        <v>572</v>
      </c>
      <c r="G78" s="429" t="s">
        <v>527</v>
      </c>
      <c r="H78" s="429" t="s">
        <v>609</v>
      </c>
      <c r="I78" s="446"/>
    </row>
    <row r="79" spans="1:9" ht="18.75" customHeight="1">
      <c r="A79" s="429">
        <v>45</v>
      </c>
      <c r="B79" s="444" t="s">
        <v>610</v>
      </c>
      <c r="C79" s="433">
        <v>20709</v>
      </c>
      <c r="D79" s="445">
        <v>9850</v>
      </c>
      <c r="E79" s="429">
        <v>1</v>
      </c>
      <c r="F79" s="429" t="s">
        <v>503</v>
      </c>
      <c r="G79" s="429" t="s">
        <v>527</v>
      </c>
      <c r="H79" s="429" t="s">
        <v>611</v>
      </c>
      <c r="I79" s="446"/>
    </row>
    <row r="80" spans="1:9" ht="18.75" customHeight="1">
      <c r="A80" s="429">
        <v>46</v>
      </c>
      <c r="B80" s="444" t="s">
        <v>605</v>
      </c>
      <c r="C80" s="433">
        <v>20709</v>
      </c>
      <c r="D80" s="445">
        <v>28500</v>
      </c>
      <c r="E80" s="429">
        <v>6</v>
      </c>
      <c r="F80" s="429" t="s">
        <v>503</v>
      </c>
      <c r="G80" s="429" t="s">
        <v>527</v>
      </c>
      <c r="H80" s="429" t="s">
        <v>612</v>
      </c>
      <c r="I80" s="446"/>
    </row>
    <row r="81" spans="1:9" ht="18.75" customHeight="1">
      <c r="A81" s="429">
        <v>47</v>
      </c>
      <c r="B81" s="444" t="s">
        <v>613</v>
      </c>
      <c r="C81" s="433">
        <v>20792</v>
      </c>
      <c r="D81" s="445">
        <v>9850</v>
      </c>
      <c r="E81" s="429">
        <v>1</v>
      </c>
      <c r="F81" s="429" t="s">
        <v>503</v>
      </c>
      <c r="G81" s="429" t="s">
        <v>527</v>
      </c>
      <c r="H81" s="429" t="s">
        <v>614</v>
      </c>
      <c r="I81" s="446"/>
    </row>
    <row r="82" spans="1:9" ht="18.75" customHeight="1">
      <c r="A82" s="429">
        <v>48</v>
      </c>
      <c r="B82" s="444" t="s">
        <v>615</v>
      </c>
      <c r="C82" s="433">
        <v>20792</v>
      </c>
      <c r="D82" s="445">
        <v>92400</v>
      </c>
      <c r="E82" s="429">
        <v>24</v>
      </c>
      <c r="F82" s="429" t="s">
        <v>503</v>
      </c>
      <c r="G82" s="429" t="s">
        <v>527</v>
      </c>
      <c r="H82" s="429" t="s">
        <v>616</v>
      </c>
      <c r="I82" s="493"/>
    </row>
    <row r="83" spans="1:9" ht="18.75" customHeight="1">
      <c r="A83" s="429">
        <v>49</v>
      </c>
      <c r="B83" s="444" t="s">
        <v>617</v>
      </c>
      <c r="C83" s="433">
        <v>14305</v>
      </c>
      <c r="D83" s="445">
        <v>2300</v>
      </c>
      <c r="E83" s="429">
        <v>1</v>
      </c>
      <c r="F83" s="429" t="s">
        <v>572</v>
      </c>
      <c r="G83" s="429" t="s">
        <v>527</v>
      </c>
      <c r="H83" s="429" t="s">
        <v>618</v>
      </c>
      <c r="I83" s="446"/>
    </row>
    <row r="84" spans="1:9" ht="18.75" customHeight="1">
      <c r="A84" s="429">
        <v>50</v>
      </c>
      <c r="B84" s="444" t="s">
        <v>619</v>
      </c>
      <c r="C84" s="433">
        <v>14858</v>
      </c>
      <c r="D84" s="445">
        <v>6900</v>
      </c>
      <c r="E84" s="429">
        <v>3</v>
      </c>
      <c r="F84" s="429" t="s">
        <v>620</v>
      </c>
      <c r="G84" s="429" t="s">
        <v>527</v>
      </c>
      <c r="H84" s="429" t="s">
        <v>621</v>
      </c>
      <c r="I84" s="446"/>
    </row>
    <row r="85" spans="1:9" ht="18.75" customHeight="1">
      <c r="A85" s="429">
        <v>51</v>
      </c>
      <c r="B85" s="444" t="s">
        <v>622</v>
      </c>
      <c r="C85" s="433">
        <v>14862</v>
      </c>
      <c r="D85" s="445">
        <v>6900</v>
      </c>
      <c r="E85" s="429">
        <v>3</v>
      </c>
      <c r="F85" s="429" t="s">
        <v>503</v>
      </c>
      <c r="G85" s="429" t="s">
        <v>527</v>
      </c>
      <c r="H85" s="429" t="s">
        <v>623</v>
      </c>
      <c r="I85" s="446"/>
    </row>
    <row r="86" spans="1:9" ht="18.75" customHeight="1">
      <c r="A86" s="429">
        <v>52</v>
      </c>
      <c r="B86" s="444" t="s">
        <v>624</v>
      </c>
      <c r="C86" s="433">
        <v>15030</v>
      </c>
      <c r="D86" s="445">
        <v>4600</v>
      </c>
      <c r="E86" s="429">
        <v>2</v>
      </c>
      <c r="F86" s="429" t="s">
        <v>503</v>
      </c>
      <c r="G86" s="429" t="s">
        <v>527</v>
      </c>
      <c r="H86" s="429" t="s">
        <v>625</v>
      </c>
      <c r="I86" s="446"/>
    </row>
    <row r="87" spans="1:9" ht="18.75" customHeight="1">
      <c r="A87" s="429">
        <v>53</v>
      </c>
      <c r="B87" s="444" t="s">
        <v>626</v>
      </c>
      <c r="C87" s="433">
        <v>15976</v>
      </c>
      <c r="D87" s="445">
        <v>2300</v>
      </c>
      <c r="E87" s="429">
        <v>1</v>
      </c>
      <c r="F87" s="429" t="s">
        <v>503</v>
      </c>
      <c r="G87" s="429" t="s">
        <v>527</v>
      </c>
      <c r="H87" s="429" t="s">
        <v>627</v>
      </c>
      <c r="I87" s="446"/>
    </row>
    <row r="88" spans="1:9" ht="18.75" customHeight="1">
      <c r="A88" s="429">
        <v>54</v>
      </c>
      <c r="B88" s="444" t="s">
        <v>622</v>
      </c>
      <c r="C88" s="433">
        <v>15976</v>
      </c>
      <c r="D88" s="445">
        <v>3300</v>
      </c>
      <c r="E88" s="429">
        <v>1</v>
      </c>
      <c r="F88" s="429" t="s">
        <v>503</v>
      </c>
      <c r="G88" s="429" t="s">
        <v>527</v>
      </c>
      <c r="H88" s="429" t="s">
        <v>628</v>
      </c>
      <c r="I88" s="446"/>
    </row>
    <row r="89" spans="1:9" ht="18.75" customHeight="1">
      <c r="A89" s="429">
        <v>55</v>
      </c>
      <c r="B89" s="464" t="s">
        <v>629</v>
      </c>
      <c r="C89" s="456">
        <v>16493</v>
      </c>
      <c r="D89" s="457">
        <v>2300</v>
      </c>
      <c r="E89" s="458">
        <v>1</v>
      </c>
      <c r="F89" s="458" t="s">
        <v>630</v>
      </c>
      <c r="G89" s="458" t="s">
        <v>527</v>
      </c>
      <c r="H89" s="458" t="s">
        <v>631</v>
      </c>
      <c r="I89" s="459"/>
    </row>
    <row r="90" spans="1:9" ht="18.75" customHeight="1">
      <c r="A90" s="429">
        <v>56</v>
      </c>
      <c r="B90" s="444" t="s">
        <v>632</v>
      </c>
      <c r="C90" s="433">
        <v>16705</v>
      </c>
      <c r="D90" s="445">
        <v>3200</v>
      </c>
      <c r="E90" s="429">
        <v>1</v>
      </c>
      <c r="F90" s="429" t="s">
        <v>503</v>
      </c>
      <c r="G90" s="429" t="s">
        <v>527</v>
      </c>
      <c r="H90" s="429" t="s">
        <v>633</v>
      </c>
      <c r="I90" s="446"/>
    </row>
    <row r="91" spans="1:9" ht="18.75" customHeight="1">
      <c r="A91" s="429">
        <v>57</v>
      </c>
      <c r="B91" s="464" t="s">
        <v>634</v>
      </c>
      <c r="C91" s="456">
        <v>17299</v>
      </c>
      <c r="D91" s="457">
        <v>7200</v>
      </c>
      <c r="E91" s="458">
        <v>2</v>
      </c>
      <c r="F91" s="429" t="s">
        <v>503</v>
      </c>
      <c r="G91" s="458" t="s">
        <v>527</v>
      </c>
      <c r="H91" s="458" t="s">
        <v>635</v>
      </c>
      <c r="I91" s="459"/>
    </row>
    <row r="92" spans="1:9" ht="18.75" customHeight="1">
      <c r="A92" s="429">
        <v>58</v>
      </c>
      <c r="B92" s="447" t="s">
        <v>636</v>
      </c>
      <c r="C92" s="433">
        <v>17760</v>
      </c>
      <c r="D92" s="445">
        <v>15600</v>
      </c>
      <c r="E92" s="429">
        <v>3</v>
      </c>
      <c r="F92" s="429" t="s">
        <v>503</v>
      </c>
      <c r="G92" s="429" t="s">
        <v>527</v>
      </c>
      <c r="H92" s="429" t="s">
        <v>637</v>
      </c>
      <c r="I92" s="446"/>
    </row>
    <row r="93" spans="1:9" ht="18.75" customHeight="1">
      <c r="A93" s="429">
        <v>59</v>
      </c>
      <c r="B93" s="447" t="s">
        <v>638</v>
      </c>
      <c r="C93" s="433">
        <v>18250</v>
      </c>
      <c r="D93" s="445">
        <v>7500</v>
      </c>
      <c r="E93" s="429">
        <v>1</v>
      </c>
      <c r="F93" s="429" t="s">
        <v>630</v>
      </c>
      <c r="G93" s="429" t="s">
        <v>527</v>
      </c>
      <c r="H93" s="429" t="s">
        <v>639</v>
      </c>
      <c r="I93" s="446"/>
    </row>
    <row r="94" spans="1:9" ht="18.75" customHeight="1">
      <c r="A94" s="429">
        <v>60</v>
      </c>
      <c r="B94" s="447" t="s">
        <v>640</v>
      </c>
      <c r="C94" s="433">
        <v>18250</v>
      </c>
      <c r="D94" s="445">
        <v>4500</v>
      </c>
      <c r="E94" s="429">
        <v>1</v>
      </c>
      <c r="F94" s="429" t="s">
        <v>630</v>
      </c>
      <c r="G94" s="429" t="s">
        <v>527</v>
      </c>
      <c r="H94" s="429" t="s">
        <v>641</v>
      </c>
      <c r="I94" s="463"/>
    </row>
    <row r="95" spans="1:9" ht="18.75" customHeight="1">
      <c r="A95" s="429">
        <v>61</v>
      </c>
      <c r="B95" s="447" t="s">
        <v>642</v>
      </c>
      <c r="C95" s="433">
        <v>18250</v>
      </c>
      <c r="D95" s="445">
        <v>4300</v>
      </c>
      <c r="E95" s="429">
        <v>1</v>
      </c>
      <c r="F95" s="429" t="s">
        <v>630</v>
      </c>
      <c r="G95" s="429" t="s">
        <v>527</v>
      </c>
      <c r="H95" s="429" t="s">
        <v>643</v>
      </c>
      <c r="I95" s="463"/>
    </row>
    <row r="96" spans="1:9" ht="18.75" customHeight="1">
      <c r="A96" s="429">
        <v>62</v>
      </c>
      <c r="B96" s="447" t="s">
        <v>644</v>
      </c>
      <c r="C96" s="433">
        <v>18531</v>
      </c>
      <c r="D96" s="445">
        <v>7750</v>
      </c>
      <c r="E96" s="429">
        <v>2</v>
      </c>
      <c r="F96" s="429" t="s">
        <v>503</v>
      </c>
      <c r="G96" s="429" t="s">
        <v>527</v>
      </c>
      <c r="H96" s="429" t="s">
        <v>645</v>
      </c>
      <c r="I96" s="463"/>
    </row>
    <row r="97" spans="1:9" ht="18.75" customHeight="1">
      <c r="A97" s="429">
        <v>63</v>
      </c>
      <c r="B97" s="447" t="s">
        <v>646</v>
      </c>
      <c r="C97" s="433">
        <v>19135</v>
      </c>
      <c r="D97" s="445">
        <v>5000</v>
      </c>
      <c r="E97" s="429">
        <v>1</v>
      </c>
      <c r="F97" s="429" t="s">
        <v>503</v>
      </c>
      <c r="G97" s="429" t="s">
        <v>527</v>
      </c>
      <c r="H97" s="429" t="s">
        <v>647</v>
      </c>
      <c r="I97" s="463"/>
    </row>
    <row r="98" spans="1:9" ht="18.75" customHeight="1">
      <c r="A98" s="429">
        <v>64</v>
      </c>
      <c r="B98" s="447" t="s">
        <v>640</v>
      </c>
      <c r="C98" s="433">
        <v>19693</v>
      </c>
      <c r="D98" s="445">
        <v>4600</v>
      </c>
      <c r="E98" s="429">
        <v>1</v>
      </c>
      <c r="F98" s="429" t="s">
        <v>547</v>
      </c>
      <c r="G98" s="429" t="s">
        <v>527</v>
      </c>
      <c r="H98" s="429" t="s">
        <v>648</v>
      </c>
      <c r="I98" s="463"/>
    </row>
    <row r="99" spans="1:9" ht="18.75" customHeight="1">
      <c r="A99" s="429">
        <v>65</v>
      </c>
      <c r="B99" s="444" t="s">
        <v>632</v>
      </c>
      <c r="C99" s="433">
        <v>19693</v>
      </c>
      <c r="D99" s="445">
        <v>3300</v>
      </c>
      <c r="E99" s="429">
        <v>1</v>
      </c>
      <c r="F99" s="429" t="s">
        <v>547</v>
      </c>
      <c r="G99" s="429" t="s">
        <v>527</v>
      </c>
      <c r="H99" s="429" t="s">
        <v>649</v>
      </c>
      <c r="I99" s="463"/>
    </row>
    <row r="100" spans="1:9" ht="18.75" customHeight="1">
      <c r="A100" s="429">
        <v>66</v>
      </c>
      <c r="B100" s="447" t="s">
        <v>642</v>
      </c>
      <c r="C100" s="433">
        <v>19696</v>
      </c>
      <c r="D100" s="445">
        <v>3300</v>
      </c>
      <c r="E100" s="429">
        <v>1</v>
      </c>
      <c r="F100" s="429" t="s">
        <v>503</v>
      </c>
      <c r="G100" s="429" t="s">
        <v>527</v>
      </c>
      <c r="H100" s="429" t="s">
        <v>650</v>
      </c>
      <c r="I100" s="463"/>
    </row>
    <row r="101" spans="1:9" ht="18.75" customHeight="1">
      <c r="A101" s="429">
        <v>67</v>
      </c>
      <c r="B101" s="444" t="s">
        <v>632</v>
      </c>
      <c r="C101" s="433">
        <v>20328</v>
      </c>
      <c r="D101" s="445">
        <v>5990</v>
      </c>
      <c r="E101" s="429">
        <v>1</v>
      </c>
      <c r="F101" s="429" t="s">
        <v>547</v>
      </c>
      <c r="G101" s="429" t="s">
        <v>527</v>
      </c>
      <c r="H101" s="429" t="s">
        <v>651</v>
      </c>
      <c r="I101" s="463"/>
    </row>
    <row r="102" spans="1:9" ht="18.75" customHeight="1">
      <c r="A102" s="429">
        <v>68</v>
      </c>
      <c r="B102" s="447" t="s">
        <v>640</v>
      </c>
      <c r="C102" s="433">
        <v>20328</v>
      </c>
      <c r="D102" s="445">
        <v>6250</v>
      </c>
      <c r="E102" s="429">
        <v>1</v>
      </c>
      <c r="F102" s="429" t="s">
        <v>547</v>
      </c>
      <c r="G102" s="429" t="s">
        <v>527</v>
      </c>
      <c r="H102" s="429" t="s">
        <v>652</v>
      </c>
      <c r="I102" s="463"/>
    </row>
    <row r="103" spans="1:9" ht="18.75" customHeight="1">
      <c r="A103" s="429">
        <v>69</v>
      </c>
      <c r="B103" s="447" t="s">
        <v>653</v>
      </c>
      <c r="C103" s="433">
        <v>20328</v>
      </c>
      <c r="D103" s="445">
        <v>5620</v>
      </c>
      <c r="E103" s="429">
        <v>1</v>
      </c>
      <c r="F103" s="429" t="s">
        <v>547</v>
      </c>
      <c r="G103" s="429" t="s">
        <v>527</v>
      </c>
      <c r="H103" s="429" t="s">
        <v>654</v>
      </c>
      <c r="I103" s="463"/>
    </row>
    <row r="104" spans="1:9" ht="18.75" customHeight="1">
      <c r="A104" s="429">
        <v>70</v>
      </c>
      <c r="B104" s="447" t="s">
        <v>634</v>
      </c>
      <c r="C104" s="433">
        <v>20304</v>
      </c>
      <c r="D104" s="445">
        <v>15100</v>
      </c>
      <c r="E104" s="429">
        <v>2</v>
      </c>
      <c r="F104" s="429" t="s">
        <v>655</v>
      </c>
      <c r="G104" s="429" t="s">
        <v>527</v>
      </c>
      <c r="H104" s="429" t="s">
        <v>656</v>
      </c>
      <c r="I104" s="463"/>
    </row>
    <row r="105" spans="1:9" ht="18.75" customHeight="1">
      <c r="A105" s="429">
        <v>71</v>
      </c>
      <c r="B105" s="447" t="s">
        <v>657</v>
      </c>
      <c r="C105" s="433">
        <v>20696</v>
      </c>
      <c r="D105" s="445">
        <v>6950</v>
      </c>
      <c r="E105" s="429">
        <v>1</v>
      </c>
      <c r="F105" s="429" t="s">
        <v>572</v>
      </c>
      <c r="G105" s="429" t="s">
        <v>527</v>
      </c>
      <c r="H105" s="429" t="s">
        <v>658</v>
      </c>
      <c r="I105" s="463"/>
    </row>
    <row r="106" spans="1:9" ht="18.75" customHeight="1">
      <c r="A106" s="429">
        <v>72</v>
      </c>
      <c r="B106" s="447" t="s">
        <v>659</v>
      </c>
      <c r="C106" s="433">
        <v>20696</v>
      </c>
      <c r="D106" s="445">
        <v>70000</v>
      </c>
      <c r="E106" s="429">
        <v>1</v>
      </c>
      <c r="F106" s="429" t="s">
        <v>572</v>
      </c>
      <c r="G106" s="429" t="s">
        <v>527</v>
      </c>
      <c r="H106" s="429" t="s">
        <v>660</v>
      </c>
      <c r="I106" s="463"/>
    </row>
    <row r="107" spans="1:9" ht="18.75" customHeight="1">
      <c r="A107" s="429">
        <v>73</v>
      </c>
      <c r="B107" s="447" t="s">
        <v>629</v>
      </c>
      <c r="C107" s="433">
        <v>20696</v>
      </c>
      <c r="D107" s="445">
        <v>8000</v>
      </c>
      <c r="E107" s="429">
        <v>1</v>
      </c>
      <c r="F107" s="429" t="s">
        <v>572</v>
      </c>
      <c r="G107" s="429" t="s">
        <v>527</v>
      </c>
      <c r="H107" s="429" t="s">
        <v>661</v>
      </c>
      <c r="I107" s="463"/>
    </row>
    <row r="108" spans="1:9" ht="18.75" customHeight="1">
      <c r="A108" s="429">
        <v>74</v>
      </c>
      <c r="B108" s="447" t="s">
        <v>657</v>
      </c>
      <c r="C108" s="433">
        <v>20696</v>
      </c>
      <c r="D108" s="445">
        <v>20850</v>
      </c>
      <c r="E108" s="429">
        <v>3</v>
      </c>
      <c r="F108" s="429" t="s">
        <v>655</v>
      </c>
      <c r="G108" s="429" t="s">
        <v>527</v>
      </c>
      <c r="H108" s="429" t="s">
        <v>662</v>
      </c>
      <c r="I108" s="463"/>
    </row>
    <row r="109" spans="1:9" ht="18.75" customHeight="1">
      <c r="A109" s="429">
        <v>75</v>
      </c>
      <c r="B109" s="447" t="s">
        <v>663</v>
      </c>
      <c r="C109" s="433">
        <v>20696</v>
      </c>
      <c r="D109" s="445">
        <v>16800</v>
      </c>
      <c r="E109" s="429">
        <v>6</v>
      </c>
      <c r="F109" s="429" t="s">
        <v>664</v>
      </c>
      <c r="G109" s="429" t="s">
        <v>527</v>
      </c>
      <c r="H109" s="429" t="s">
        <v>665</v>
      </c>
      <c r="I109" s="463"/>
    </row>
    <row r="110" spans="1:9" ht="18.75" customHeight="1">
      <c r="A110" s="429">
        <v>76</v>
      </c>
      <c r="B110" s="464" t="s">
        <v>666</v>
      </c>
      <c r="C110" s="456">
        <v>20792</v>
      </c>
      <c r="D110" s="457">
        <v>9250</v>
      </c>
      <c r="E110" s="458">
        <v>1</v>
      </c>
      <c r="F110" s="458" t="s">
        <v>655</v>
      </c>
      <c r="G110" s="458" t="s">
        <v>527</v>
      </c>
      <c r="H110" s="458" t="s">
        <v>667</v>
      </c>
      <c r="I110" s="465"/>
    </row>
    <row r="111" spans="1:9" ht="18.75" customHeight="1">
      <c r="A111" s="429">
        <v>77</v>
      </c>
      <c r="B111" s="447" t="s">
        <v>657</v>
      </c>
      <c r="C111" s="456">
        <v>21395</v>
      </c>
      <c r="D111" s="457">
        <v>20970</v>
      </c>
      <c r="E111" s="458">
        <v>3</v>
      </c>
      <c r="F111" s="458" t="s">
        <v>668</v>
      </c>
      <c r="G111" s="458" t="s">
        <v>527</v>
      </c>
      <c r="H111" s="458" t="s">
        <v>669</v>
      </c>
      <c r="I111" s="465"/>
    </row>
    <row r="112" spans="1:9" ht="18.75" customHeight="1">
      <c r="A112" s="429">
        <v>78</v>
      </c>
      <c r="B112" s="464" t="s">
        <v>670</v>
      </c>
      <c r="C112" s="456">
        <v>21394</v>
      </c>
      <c r="D112" s="457">
        <v>6800</v>
      </c>
      <c r="E112" s="458">
        <v>1</v>
      </c>
      <c r="F112" s="458" t="s">
        <v>503</v>
      </c>
      <c r="G112" s="458" t="s">
        <v>527</v>
      </c>
      <c r="H112" s="458" t="s">
        <v>671</v>
      </c>
      <c r="I112" s="465"/>
    </row>
    <row r="113" spans="1:9" ht="18.75" customHeight="1">
      <c r="A113" s="429">
        <v>79</v>
      </c>
      <c r="B113" s="447" t="s">
        <v>672</v>
      </c>
      <c r="C113" s="433">
        <v>14878</v>
      </c>
      <c r="D113" s="445">
        <v>8600</v>
      </c>
      <c r="E113" s="429">
        <v>1</v>
      </c>
      <c r="F113" s="429" t="s">
        <v>503</v>
      </c>
      <c r="G113" s="429" t="s">
        <v>527</v>
      </c>
      <c r="H113" s="429" t="s">
        <v>673</v>
      </c>
      <c r="I113" s="446"/>
    </row>
    <row r="114" spans="1:9" ht="18.75" customHeight="1">
      <c r="A114" s="429">
        <v>80</v>
      </c>
      <c r="B114" s="447" t="s">
        <v>674</v>
      </c>
      <c r="C114" s="433">
        <v>17690</v>
      </c>
      <c r="D114" s="445">
        <v>6000</v>
      </c>
      <c r="E114" s="429">
        <v>1</v>
      </c>
      <c r="F114" s="429" t="s">
        <v>498</v>
      </c>
      <c r="G114" s="429" t="s">
        <v>527</v>
      </c>
      <c r="H114" s="429" t="s">
        <v>675</v>
      </c>
      <c r="I114" s="446"/>
    </row>
    <row r="115" spans="1:9" ht="18.75" customHeight="1">
      <c r="A115" s="429">
        <v>81</v>
      </c>
      <c r="B115" s="447" t="s">
        <v>676</v>
      </c>
      <c r="C115" s="433">
        <v>14863</v>
      </c>
      <c r="D115" s="445">
        <v>7000</v>
      </c>
      <c r="E115" s="429">
        <v>1</v>
      </c>
      <c r="F115" s="429" t="s">
        <v>503</v>
      </c>
      <c r="G115" s="429" t="s">
        <v>527</v>
      </c>
      <c r="H115" s="429" t="s">
        <v>677</v>
      </c>
      <c r="I115" s="446"/>
    </row>
    <row r="116" spans="1:9" ht="18.75" customHeight="1">
      <c r="A116" s="429">
        <v>82</v>
      </c>
      <c r="B116" s="444" t="s">
        <v>678</v>
      </c>
      <c r="C116" s="433">
        <v>17867</v>
      </c>
      <c r="D116" s="445">
        <v>99000</v>
      </c>
      <c r="E116" s="429">
        <v>1</v>
      </c>
      <c r="F116" s="429" t="s">
        <v>503</v>
      </c>
      <c r="G116" s="429" t="s">
        <v>527</v>
      </c>
      <c r="H116" s="429" t="s">
        <v>679</v>
      </c>
      <c r="I116" s="446"/>
    </row>
    <row r="117" spans="1:9" ht="18.75" customHeight="1">
      <c r="A117" s="429">
        <v>83</v>
      </c>
      <c r="B117" s="447" t="s">
        <v>680</v>
      </c>
      <c r="C117" s="433">
        <v>15834</v>
      </c>
      <c r="D117" s="445">
        <v>49666</v>
      </c>
      <c r="E117" s="429">
        <v>2</v>
      </c>
      <c r="F117" s="429" t="s">
        <v>503</v>
      </c>
      <c r="G117" s="429" t="s">
        <v>527</v>
      </c>
      <c r="H117" s="429" t="s">
        <v>681</v>
      </c>
      <c r="I117" s="446"/>
    </row>
    <row r="118" spans="1:9" ht="18.75" customHeight="1">
      <c r="A118" s="429">
        <v>84</v>
      </c>
      <c r="B118" s="447" t="s">
        <v>680</v>
      </c>
      <c r="C118" s="433">
        <v>16257</v>
      </c>
      <c r="D118" s="445">
        <v>30500</v>
      </c>
      <c r="E118" s="429">
        <v>1</v>
      </c>
      <c r="F118" s="429" t="s">
        <v>503</v>
      </c>
      <c r="G118" s="429" t="s">
        <v>527</v>
      </c>
      <c r="H118" s="429" t="s">
        <v>682</v>
      </c>
      <c r="I118" s="446"/>
    </row>
    <row r="119" spans="1:9" ht="18.75" customHeight="1">
      <c r="A119" s="429">
        <v>85</v>
      </c>
      <c r="B119" s="447" t="s">
        <v>680</v>
      </c>
      <c r="C119" s="433">
        <v>17374</v>
      </c>
      <c r="D119" s="445">
        <v>48000</v>
      </c>
      <c r="E119" s="429">
        <v>2</v>
      </c>
      <c r="F119" s="429" t="s">
        <v>503</v>
      </c>
      <c r="G119" s="429" t="s">
        <v>527</v>
      </c>
      <c r="H119" s="429" t="s">
        <v>683</v>
      </c>
      <c r="I119" s="446"/>
    </row>
    <row r="120" spans="1:9" ht="18.75" customHeight="1">
      <c r="A120" s="429">
        <v>86</v>
      </c>
      <c r="B120" s="447" t="s">
        <v>684</v>
      </c>
      <c r="C120" s="433">
        <v>20815</v>
      </c>
      <c r="D120" s="445">
        <v>105000</v>
      </c>
      <c r="E120" s="429">
        <v>6</v>
      </c>
      <c r="F120" s="429" t="s">
        <v>503</v>
      </c>
      <c r="G120" s="429" t="s">
        <v>491</v>
      </c>
      <c r="H120" s="454" t="s">
        <v>685</v>
      </c>
      <c r="I120" s="446"/>
    </row>
    <row r="121" spans="1:9" ht="18.75" customHeight="1">
      <c r="A121" s="429">
        <v>87</v>
      </c>
      <c r="B121" s="447" t="s">
        <v>686</v>
      </c>
      <c r="C121" s="433">
        <v>20815</v>
      </c>
      <c r="D121" s="445">
        <v>148500</v>
      </c>
      <c r="E121" s="429">
        <v>3</v>
      </c>
      <c r="F121" s="429" t="s">
        <v>503</v>
      </c>
      <c r="G121" s="429" t="s">
        <v>491</v>
      </c>
      <c r="H121" s="454" t="s">
        <v>687</v>
      </c>
      <c r="I121" s="446"/>
    </row>
    <row r="122" spans="1:9" ht="18.75" customHeight="1">
      <c r="A122" s="429">
        <v>88</v>
      </c>
      <c r="B122" s="447" t="s">
        <v>688</v>
      </c>
      <c r="C122" s="433">
        <v>21071</v>
      </c>
      <c r="D122" s="445">
        <v>124000</v>
      </c>
      <c r="E122" s="429">
        <v>4</v>
      </c>
      <c r="F122" s="429" t="s">
        <v>664</v>
      </c>
      <c r="G122" s="429" t="s">
        <v>491</v>
      </c>
      <c r="H122" s="454" t="s">
        <v>689</v>
      </c>
      <c r="I122" s="446"/>
    </row>
    <row r="123" spans="1:9" ht="18.75" customHeight="1">
      <c r="A123" s="429">
        <v>89</v>
      </c>
      <c r="B123" s="447" t="s">
        <v>690</v>
      </c>
      <c r="C123" s="433">
        <v>17563</v>
      </c>
      <c r="D123" s="445">
        <v>1400</v>
      </c>
      <c r="E123" s="429">
        <v>1</v>
      </c>
      <c r="F123" s="429" t="s">
        <v>503</v>
      </c>
      <c r="G123" s="429" t="s">
        <v>527</v>
      </c>
      <c r="H123" s="429" t="s">
        <v>691</v>
      </c>
      <c r="I123" s="446"/>
    </row>
    <row r="124" spans="1:9" ht="18.75" customHeight="1">
      <c r="A124" s="429">
        <v>90</v>
      </c>
      <c r="B124" s="447" t="s">
        <v>692</v>
      </c>
      <c r="C124" s="433">
        <v>15143</v>
      </c>
      <c r="D124" s="445">
        <v>9800</v>
      </c>
      <c r="E124" s="429">
        <v>2</v>
      </c>
      <c r="F124" s="429" t="s">
        <v>503</v>
      </c>
      <c r="G124" s="429" t="s">
        <v>527</v>
      </c>
      <c r="H124" s="429" t="s">
        <v>693</v>
      </c>
      <c r="I124" s="446"/>
    </row>
    <row r="125" spans="1:9" ht="18.75" customHeight="1">
      <c r="A125" s="429">
        <v>91</v>
      </c>
      <c r="B125" s="447" t="s">
        <v>694</v>
      </c>
      <c r="C125" s="433">
        <v>14463</v>
      </c>
      <c r="D125" s="445">
        <v>11000</v>
      </c>
      <c r="E125" s="429">
        <v>1</v>
      </c>
      <c r="F125" s="429" t="s">
        <v>503</v>
      </c>
      <c r="G125" s="429" t="s">
        <v>527</v>
      </c>
      <c r="H125" s="429" t="s">
        <v>695</v>
      </c>
      <c r="I125" s="446"/>
    </row>
    <row r="126" spans="1:9" ht="18.75" customHeight="1">
      <c r="A126" s="429">
        <v>92</v>
      </c>
      <c r="B126" s="447" t="s">
        <v>696</v>
      </c>
      <c r="C126" s="433">
        <v>15608</v>
      </c>
      <c r="D126" s="445">
        <v>8000</v>
      </c>
      <c r="E126" s="429">
        <v>1</v>
      </c>
      <c r="F126" s="429" t="s">
        <v>503</v>
      </c>
      <c r="G126" s="429" t="s">
        <v>527</v>
      </c>
      <c r="H126" s="429" t="s">
        <v>697</v>
      </c>
      <c r="I126" s="494"/>
    </row>
    <row r="127" spans="1:9" ht="18.75" customHeight="1">
      <c r="A127" s="429">
        <v>93</v>
      </c>
      <c r="B127" s="447" t="s">
        <v>698</v>
      </c>
      <c r="C127" s="433">
        <v>18250</v>
      </c>
      <c r="D127" s="445">
        <v>2800</v>
      </c>
      <c r="E127" s="429">
        <v>1</v>
      </c>
      <c r="F127" s="429" t="s">
        <v>547</v>
      </c>
      <c r="G127" s="429" t="s">
        <v>527</v>
      </c>
      <c r="H127" s="429" t="s">
        <v>699</v>
      </c>
      <c r="I127" s="446"/>
    </row>
    <row r="128" spans="1:9" ht="18.75" customHeight="1">
      <c r="A128" s="429">
        <v>94</v>
      </c>
      <c r="B128" s="447" t="s">
        <v>700</v>
      </c>
      <c r="C128" s="433">
        <v>19223</v>
      </c>
      <c r="D128" s="445">
        <v>3450</v>
      </c>
      <c r="E128" s="429">
        <v>1</v>
      </c>
      <c r="F128" s="429" t="s">
        <v>547</v>
      </c>
      <c r="G128" s="429" t="s">
        <v>527</v>
      </c>
      <c r="H128" s="429" t="s">
        <v>701</v>
      </c>
      <c r="I128" s="446"/>
    </row>
    <row r="129" spans="1:9" ht="18.75" customHeight="1">
      <c r="A129" s="429">
        <v>95</v>
      </c>
      <c r="B129" s="447" t="s">
        <v>702</v>
      </c>
      <c r="C129" s="433">
        <v>17680</v>
      </c>
      <c r="D129" s="445">
        <v>3500</v>
      </c>
      <c r="E129" s="429">
        <v>1</v>
      </c>
      <c r="F129" s="429" t="s">
        <v>498</v>
      </c>
      <c r="G129" s="429" t="s">
        <v>491</v>
      </c>
      <c r="H129" s="429" t="s">
        <v>703</v>
      </c>
      <c r="I129" s="446"/>
    </row>
    <row r="130" spans="1:9" ht="18.75" customHeight="1">
      <c r="A130" s="429">
        <v>96</v>
      </c>
      <c r="B130" s="464" t="s">
        <v>702</v>
      </c>
      <c r="C130" s="456">
        <v>18666</v>
      </c>
      <c r="D130" s="457">
        <v>3800</v>
      </c>
      <c r="E130" s="458">
        <v>1</v>
      </c>
      <c r="F130" s="467" t="s">
        <v>704</v>
      </c>
      <c r="G130" s="458" t="s">
        <v>527</v>
      </c>
      <c r="H130" s="458" t="s">
        <v>705</v>
      </c>
      <c r="I130" s="446"/>
    </row>
    <row r="131" spans="1:9" ht="18.75" customHeight="1">
      <c r="A131" s="429">
        <v>97</v>
      </c>
      <c r="B131" s="447" t="s">
        <v>706</v>
      </c>
      <c r="C131" s="433">
        <v>18714</v>
      </c>
      <c r="D131" s="445">
        <v>3490</v>
      </c>
      <c r="E131" s="429">
        <v>1</v>
      </c>
      <c r="F131" s="429" t="s">
        <v>503</v>
      </c>
      <c r="G131" s="482" t="s">
        <v>563</v>
      </c>
      <c r="H131" s="429" t="s">
        <v>707</v>
      </c>
      <c r="I131" s="522" t="s">
        <v>898</v>
      </c>
    </row>
    <row r="132" spans="1:9" ht="18.75" customHeight="1">
      <c r="A132" s="429">
        <v>98</v>
      </c>
      <c r="B132" s="447" t="s">
        <v>708</v>
      </c>
      <c r="C132" s="433">
        <v>18998</v>
      </c>
      <c r="D132" s="445">
        <v>4900</v>
      </c>
      <c r="E132" s="429">
        <v>1</v>
      </c>
      <c r="F132" s="429" t="s">
        <v>547</v>
      </c>
      <c r="G132" s="482" t="s">
        <v>563</v>
      </c>
      <c r="H132" s="429" t="s">
        <v>709</v>
      </c>
      <c r="I132" s="522" t="s">
        <v>898</v>
      </c>
    </row>
    <row r="133" spans="1:9" ht="18.75" customHeight="1">
      <c r="A133" s="429">
        <v>99</v>
      </c>
      <c r="B133" s="447" t="s">
        <v>710</v>
      </c>
      <c r="C133" s="433">
        <v>19926</v>
      </c>
      <c r="D133" s="445">
        <v>4470</v>
      </c>
      <c r="E133" s="429">
        <v>1</v>
      </c>
      <c r="F133" s="429" t="s">
        <v>547</v>
      </c>
      <c r="G133" s="429" t="s">
        <v>527</v>
      </c>
      <c r="H133" s="429" t="s">
        <v>711</v>
      </c>
      <c r="I133" s="446"/>
    </row>
    <row r="134" spans="1:9" ht="18.75" customHeight="1">
      <c r="A134" s="429">
        <v>100</v>
      </c>
      <c r="B134" s="447" t="s">
        <v>708</v>
      </c>
      <c r="C134" s="433">
        <v>20316</v>
      </c>
      <c r="D134" s="445">
        <v>4900</v>
      </c>
      <c r="E134" s="429">
        <v>1</v>
      </c>
      <c r="F134" s="429" t="s">
        <v>547</v>
      </c>
      <c r="G134" s="429" t="s">
        <v>491</v>
      </c>
      <c r="H134" s="429" t="s">
        <v>712</v>
      </c>
      <c r="I134" s="446"/>
    </row>
    <row r="135" spans="1:9" ht="18.75" customHeight="1">
      <c r="A135" s="429">
        <v>101</v>
      </c>
      <c r="B135" s="447" t="s">
        <v>710</v>
      </c>
      <c r="C135" s="433">
        <v>20316</v>
      </c>
      <c r="D135" s="445">
        <v>12300</v>
      </c>
      <c r="E135" s="429">
        <v>1</v>
      </c>
      <c r="F135" s="429" t="s">
        <v>498</v>
      </c>
      <c r="G135" s="429" t="s">
        <v>491</v>
      </c>
      <c r="H135" s="429" t="s">
        <v>713</v>
      </c>
      <c r="I135" s="446"/>
    </row>
    <row r="136" spans="1:9" ht="18.75" customHeight="1">
      <c r="A136" s="429">
        <v>102</v>
      </c>
      <c r="B136" s="447" t="s">
        <v>710</v>
      </c>
      <c r="C136" s="433">
        <v>20324</v>
      </c>
      <c r="D136" s="445">
        <v>4800</v>
      </c>
      <c r="E136" s="429">
        <v>1</v>
      </c>
      <c r="F136" s="429" t="s">
        <v>222</v>
      </c>
      <c r="G136" s="482" t="s">
        <v>563</v>
      </c>
      <c r="H136" s="429" t="s">
        <v>714</v>
      </c>
      <c r="I136" s="522" t="s">
        <v>898</v>
      </c>
    </row>
    <row r="137" spans="1:9" ht="18.75" customHeight="1">
      <c r="A137" s="429">
        <v>103</v>
      </c>
      <c r="B137" s="447" t="s">
        <v>715</v>
      </c>
      <c r="C137" s="433">
        <v>20681</v>
      </c>
      <c r="D137" s="445">
        <v>7000</v>
      </c>
      <c r="E137" s="429">
        <v>2</v>
      </c>
      <c r="F137" s="429" t="s">
        <v>655</v>
      </c>
      <c r="G137" s="429" t="s">
        <v>527</v>
      </c>
      <c r="H137" s="429" t="s">
        <v>716</v>
      </c>
      <c r="I137" s="446"/>
    </row>
    <row r="138" spans="1:9" ht="18.75" customHeight="1">
      <c r="A138" s="429">
        <v>104</v>
      </c>
      <c r="B138" s="447" t="s">
        <v>710</v>
      </c>
      <c r="C138" s="433">
        <v>20681</v>
      </c>
      <c r="D138" s="445">
        <v>4200</v>
      </c>
      <c r="E138" s="429">
        <v>1</v>
      </c>
      <c r="F138" s="429" t="s">
        <v>655</v>
      </c>
      <c r="G138" s="429" t="s">
        <v>527</v>
      </c>
      <c r="H138" s="429" t="s">
        <v>717</v>
      </c>
      <c r="I138" s="446"/>
    </row>
    <row r="139" spans="1:11" ht="18.75" customHeight="1">
      <c r="A139" s="429">
        <v>105</v>
      </c>
      <c r="B139" s="447" t="s">
        <v>715</v>
      </c>
      <c r="C139" s="433">
        <v>20891</v>
      </c>
      <c r="D139" s="445">
        <v>3590</v>
      </c>
      <c r="E139" s="429">
        <v>1</v>
      </c>
      <c r="F139" s="429" t="s">
        <v>572</v>
      </c>
      <c r="G139" s="482" t="s">
        <v>563</v>
      </c>
      <c r="H139" s="429" t="s">
        <v>718</v>
      </c>
      <c r="I139" s="522" t="s">
        <v>898</v>
      </c>
      <c r="K139" s="466"/>
    </row>
    <row r="140" spans="1:11" ht="18.75" customHeight="1">
      <c r="A140" s="429">
        <v>106</v>
      </c>
      <c r="B140" s="447" t="s">
        <v>715</v>
      </c>
      <c r="C140" s="433">
        <v>21344</v>
      </c>
      <c r="D140" s="445">
        <v>4990</v>
      </c>
      <c r="E140" s="429">
        <v>1</v>
      </c>
      <c r="F140" s="429" t="s">
        <v>719</v>
      </c>
      <c r="G140" s="482" t="s">
        <v>563</v>
      </c>
      <c r="H140" s="429" t="s">
        <v>720</v>
      </c>
      <c r="I140" s="522" t="s">
        <v>898</v>
      </c>
      <c r="K140" s="466"/>
    </row>
    <row r="141" spans="1:11" ht="18.75" customHeight="1">
      <c r="A141" s="429">
        <v>107</v>
      </c>
      <c r="B141" s="447" t="s">
        <v>721</v>
      </c>
      <c r="C141" s="433">
        <v>20696</v>
      </c>
      <c r="D141" s="445">
        <v>10020</v>
      </c>
      <c r="E141" s="429">
        <v>6</v>
      </c>
      <c r="F141" s="429" t="s">
        <v>503</v>
      </c>
      <c r="G141" s="429" t="s">
        <v>527</v>
      </c>
      <c r="H141" s="429" t="s">
        <v>722</v>
      </c>
      <c r="I141" s="446"/>
      <c r="K141" s="466"/>
    </row>
    <row r="142" spans="1:11" ht="18.75" customHeight="1">
      <c r="A142" s="429">
        <v>108</v>
      </c>
      <c r="B142" s="447" t="s">
        <v>723</v>
      </c>
      <c r="C142" s="433">
        <v>21075</v>
      </c>
      <c r="D142" s="445">
        <v>25200</v>
      </c>
      <c r="E142" s="429">
        <v>1</v>
      </c>
      <c r="F142" s="429" t="s">
        <v>503</v>
      </c>
      <c r="G142" s="429" t="s">
        <v>527</v>
      </c>
      <c r="H142" s="429" t="s">
        <v>724</v>
      </c>
      <c r="I142" s="446"/>
      <c r="K142" s="466"/>
    </row>
    <row r="143" spans="1:9" ht="18.75" customHeight="1">
      <c r="A143" s="429">
        <v>109</v>
      </c>
      <c r="B143" s="447" t="s">
        <v>725</v>
      </c>
      <c r="C143" s="433">
        <v>21075</v>
      </c>
      <c r="D143" s="445">
        <v>34722</v>
      </c>
      <c r="E143" s="429">
        <v>9</v>
      </c>
      <c r="F143" s="429" t="s">
        <v>503</v>
      </c>
      <c r="G143" s="429" t="s">
        <v>527</v>
      </c>
      <c r="H143" s="429" t="s">
        <v>726</v>
      </c>
      <c r="I143" s="446"/>
    </row>
    <row r="144" spans="1:9" ht="18.75" customHeight="1">
      <c r="A144" s="429"/>
      <c r="B144" s="447"/>
      <c r="C144" s="433"/>
      <c r="D144" s="461">
        <f>SUM(D35:D143)</f>
        <v>1545534</v>
      </c>
      <c r="E144" s="429"/>
      <c r="F144" s="429"/>
      <c r="G144" s="429"/>
      <c r="H144" s="429"/>
      <c r="I144" s="446"/>
    </row>
    <row r="145" spans="1:9" ht="18.75" customHeight="1">
      <c r="A145" s="429"/>
      <c r="B145" s="447"/>
      <c r="C145" s="433"/>
      <c r="D145" s="434"/>
      <c r="E145" s="429"/>
      <c r="F145" s="429"/>
      <c r="G145" s="429"/>
      <c r="H145" s="429"/>
      <c r="I145" s="446"/>
    </row>
    <row r="146" spans="1:9" ht="18.75" customHeight="1">
      <c r="A146" s="429"/>
      <c r="B146" s="428" t="s">
        <v>883</v>
      </c>
      <c r="C146" s="429"/>
      <c r="D146" s="429"/>
      <c r="E146" s="429"/>
      <c r="F146" s="429"/>
      <c r="G146" s="429"/>
      <c r="H146" s="429"/>
      <c r="I146" s="476"/>
    </row>
    <row r="147" spans="1:9" ht="18.75" customHeight="1">
      <c r="A147" s="429"/>
      <c r="B147" s="428"/>
      <c r="C147" s="429"/>
      <c r="D147" s="429"/>
      <c r="E147" s="429"/>
      <c r="F147" s="429"/>
      <c r="G147" s="429"/>
      <c r="I147" s="476"/>
    </row>
    <row r="148" spans="1:9" ht="18.75" customHeight="1">
      <c r="A148" s="429">
        <v>1</v>
      </c>
      <c r="B148" s="447" t="s">
        <v>846</v>
      </c>
      <c r="C148" s="433">
        <v>20913</v>
      </c>
      <c r="D148" s="445">
        <v>786000</v>
      </c>
      <c r="E148" s="429">
        <v>1</v>
      </c>
      <c r="F148" s="429" t="s">
        <v>503</v>
      </c>
      <c r="G148" s="429" t="s">
        <v>491</v>
      </c>
      <c r="H148" s="429" t="s">
        <v>845</v>
      </c>
      <c r="I148" s="476"/>
    </row>
    <row r="149" spans="1:9" ht="18.75" customHeight="1">
      <c r="A149" s="429">
        <v>2</v>
      </c>
      <c r="B149" s="447" t="s">
        <v>848</v>
      </c>
      <c r="C149" s="433">
        <v>20918</v>
      </c>
      <c r="D149" s="445">
        <v>4473000</v>
      </c>
      <c r="E149" s="429">
        <v>1</v>
      </c>
      <c r="F149" s="429" t="s">
        <v>503</v>
      </c>
      <c r="G149" s="429" t="s">
        <v>849</v>
      </c>
      <c r="H149" s="429" t="s">
        <v>847</v>
      </c>
      <c r="I149" s="444"/>
    </row>
    <row r="150" spans="1:9" ht="18.75" customHeight="1">
      <c r="A150" s="429">
        <v>3</v>
      </c>
      <c r="B150" s="447" t="s">
        <v>851</v>
      </c>
      <c r="C150" s="433">
        <v>17678</v>
      </c>
      <c r="D150" s="434">
        <v>39000</v>
      </c>
      <c r="E150" s="429">
        <v>1</v>
      </c>
      <c r="F150" s="429" t="s">
        <v>547</v>
      </c>
      <c r="G150" s="429" t="s">
        <v>527</v>
      </c>
      <c r="H150" s="429" t="s">
        <v>850</v>
      </c>
      <c r="I150" s="444"/>
    </row>
    <row r="151" spans="1:9" ht="18.75" customHeight="1">
      <c r="A151" s="429">
        <v>4</v>
      </c>
      <c r="B151" s="447" t="s">
        <v>853</v>
      </c>
      <c r="C151" s="433">
        <v>14871</v>
      </c>
      <c r="D151" s="434">
        <v>700000</v>
      </c>
      <c r="E151" s="429">
        <v>1</v>
      </c>
      <c r="F151" s="429" t="s">
        <v>503</v>
      </c>
      <c r="G151" s="429" t="s">
        <v>527</v>
      </c>
      <c r="H151" s="429" t="s">
        <v>852</v>
      </c>
      <c r="I151" s="444"/>
    </row>
    <row r="152" spans="1:9" ht="18.75" customHeight="1">
      <c r="A152" s="429">
        <v>5</v>
      </c>
      <c r="B152" s="447" t="s">
        <v>855</v>
      </c>
      <c r="C152" s="433">
        <v>17761</v>
      </c>
      <c r="D152" s="434">
        <v>800000</v>
      </c>
      <c r="E152" s="429">
        <v>1</v>
      </c>
      <c r="F152" s="429" t="s">
        <v>503</v>
      </c>
      <c r="G152" s="482" t="s">
        <v>563</v>
      </c>
      <c r="H152" s="429" t="s">
        <v>854</v>
      </c>
      <c r="I152" s="522" t="s">
        <v>898</v>
      </c>
    </row>
    <row r="153" spans="1:9" ht="18.75" customHeight="1">
      <c r="A153" s="429">
        <v>6</v>
      </c>
      <c r="B153" s="447" t="s">
        <v>857</v>
      </c>
      <c r="C153" s="433">
        <v>19615</v>
      </c>
      <c r="D153" s="434">
        <v>35200</v>
      </c>
      <c r="E153" s="429">
        <v>1</v>
      </c>
      <c r="F153" s="429" t="s">
        <v>498</v>
      </c>
      <c r="G153" s="429" t="s">
        <v>527</v>
      </c>
      <c r="H153" s="429" t="s">
        <v>856</v>
      </c>
      <c r="I153" s="444"/>
    </row>
    <row r="154" spans="1:9" ht="18.75" customHeight="1">
      <c r="A154" s="429">
        <v>7</v>
      </c>
      <c r="B154" s="447" t="s">
        <v>859</v>
      </c>
      <c r="C154" s="433">
        <v>20717</v>
      </c>
      <c r="D154" s="434">
        <v>2295000</v>
      </c>
      <c r="E154" s="429">
        <v>1</v>
      </c>
      <c r="F154" s="429" t="s">
        <v>655</v>
      </c>
      <c r="G154" s="429" t="s">
        <v>849</v>
      </c>
      <c r="H154" s="429" t="s">
        <v>858</v>
      </c>
      <c r="I154" s="429"/>
    </row>
    <row r="155" spans="1:9" ht="18.75" customHeight="1">
      <c r="A155" s="429"/>
      <c r="B155" s="447"/>
      <c r="C155" s="433"/>
      <c r="D155" s="434"/>
      <c r="E155" s="429"/>
      <c r="F155" s="429"/>
      <c r="G155" s="429"/>
      <c r="H155" s="429"/>
      <c r="I155" s="429"/>
    </row>
    <row r="156" spans="1:9" ht="18.75" customHeight="1">
      <c r="A156" s="428"/>
      <c r="B156" s="578" t="s">
        <v>33</v>
      </c>
      <c r="C156" s="578"/>
      <c r="D156" s="432">
        <f>SUM(D148:D154)</f>
        <v>9128200</v>
      </c>
      <c r="E156" s="429"/>
      <c r="F156" s="429"/>
      <c r="G156" s="429"/>
      <c r="H156" s="429"/>
      <c r="I156" s="444"/>
    </row>
    <row r="157" spans="1:9" ht="18.75" customHeight="1">
      <c r="A157" s="444"/>
      <c r="B157" s="428" t="s">
        <v>808</v>
      </c>
      <c r="C157" s="429"/>
      <c r="D157" s="429"/>
      <c r="E157" s="429"/>
      <c r="F157" s="429"/>
      <c r="G157" s="429"/>
      <c r="H157" s="429"/>
      <c r="I157" s="444"/>
    </row>
    <row r="158" spans="1:9" ht="18.75" customHeight="1">
      <c r="A158" s="429">
        <v>1</v>
      </c>
      <c r="B158" s="472" t="s">
        <v>810</v>
      </c>
      <c r="C158" s="433">
        <v>15971</v>
      </c>
      <c r="D158" s="434">
        <v>50000</v>
      </c>
      <c r="E158" s="429">
        <v>1</v>
      </c>
      <c r="F158" s="429" t="s">
        <v>503</v>
      </c>
      <c r="G158" s="429" t="s">
        <v>527</v>
      </c>
      <c r="H158" s="429" t="s">
        <v>809</v>
      </c>
      <c r="I158" s="444"/>
    </row>
    <row r="159" spans="1:9" ht="18.75" customHeight="1">
      <c r="A159" s="429">
        <v>2</v>
      </c>
      <c r="B159" s="472" t="s">
        <v>810</v>
      </c>
      <c r="C159" s="433">
        <v>18698</v>
      </c>
      <c r="D159" s="434">
        <v>65000</v>
      </c>
      <c r="E159" s="429">
        <v>1</v>
      </c>
      <c r="F159" s="429" t="s">
        <v>503</v>
      </c>
      <c r="G159" s="429" t="s">
        <v>527</v>
      </c>
      <c r="H159" s="429" t="s">
        <v>811</v>
      </c>
      <c r="I159" s="476"/>
    </row>
    <row r="160" spans="1:9" ht="18.75" customHeight="1">
      <c r="A160" s="429">
        <v>3</v>
      </c>
      <c r="B160" s="472" t="s">
        <v>812</v>
      </c>
      <c r="C160" s="433">
        <v>21030</v>
      </c>
      <c r="D160" s="445">
        <v>13000</v>
      </c>
      <c r="E160" s="429">
        <v>2</v>
      </c>
      <c r="F160" s="429" t="s">
        <v>503</v>
      </c>
      <c r="G160" s="429" t="s">
        <v>527</v>
      </c>
      <c r="H160" s="429" t="s">
        <v>813</v>
      </c>
      <c r="I160" s="444"/>
    </row>
    <row r="161" spans="1:9" ht="18.75" customHeight="1">
      <c r="A161" s="429">
        <v>4</v>
      </c>
      <c r="B161" s="472" t="s">
        <v>814</v>
      </c>
      <c r="C161" s="433">
        <v>20316</v>
      </c>
      <c r="D161" s="434">
        <v>60000</v>
      </c>
      <c r="E161" s="429">
        <v>1</v>
      </c>
      <c r="F161" s="429" t="s">
        <v>719</v>
      </c>
      <c r="G161" s="429" t="s">
        <v>527</v>
      </c>
      <c r="H161" s="429" t="s">
        <v>815</v>
      </c>
      <c r="I161" s="444"/>
    </row>
    <row r="162" spans="1:9" ht="18.75" customHeight="1">
      <c r="A162" s="429">
        <v>5</v>
      </c>
      <c r="B162" s="472" t="s">
        <v>814</v>
      </c>
      <c r="C162" s="433">
        <v>20226</v>
      </c>
      <c r="D162" s="434">
        <v>26000</v>
      </c>
      <c r="E162" s="429">
        <v>1</v>
      </c>
      <c r="F162" s="429" t="s">
        <v>719</v>
      </c>
      <c r="G162" s="429" t="s">
        <v>527</v>
      </c>
      <c r="H162" s="429" t="s">
        <v>816</v>
      </c>
      <c r="I162" s="444"/>
    </row>
    <row r="163" spans="1:9" ht="18.75" customHeight="1">
      <c r="A163" s="429">
        <v>6</v>
      </c>
      <c r="B163" s="472" t="s">
        <v>817</v>
      </c>
      <c r="C163" s="433">
        <v>21081</v>
      </c>
      <c r="D163" s="445">
        <v>57000</v>
      </c>
      <c r="E163" s="429">
        <v>2</v>
      </c>
      <c r="F163" s="429" t="s">
        <v>719</v>
      </c>
      <c r="G163" s="429" t="s">
        <v>527</v>
      </c>
      <c r="H163" s="429" t="s">
        <v>818</v>
      </c>
      <c r="I163" s="444"/>
    </row>
    <row r="164" spans="1:9" ht="18.75" customHeight="1">
      <c r="A164" s="429">
        <v>7</v>
      </c>
      <c r="B164" s="472" t="s">
        <v>819</v>
      </c>
      <c r="C164" s="433">
        <v>16601</v>
      </c>
      <c r="D164" s="434">
        <v>11900</v>
      </c>
      <c r="E164" s="429">
        <v>1</v>
      </c>
      <c r="F164" s="429" t="s">
        <v>503</v>
      </c>
      <c r="G164" s="429" t="s">
        <v>527</v>
      </c>
      <c r="H164" s="429" t="s">
        <v>820</v>
      </c>
      <c r="I164" s="444"/>
    </row>
    <row r="165" spans="1:9" ht="18.75" customHeight="1">
      <c r="A165" s="429">
        <v>8</v>
      </c>
      <c r="B165" s="472" t="s">
        <v>821</v>
      </c>
      <c r="C165" s="433">
        <v>21400</v>
      </c>
      <c r="D165" s="434">
        <v>48600</v>
      </c>
      <c r="E165" s="429">
        <v>2</v>
      </c>
      <c r="F165" s="429" t="s">
        <v>719</v>
      </c>
      <c r="G165" s="429" t="s">
        <v>527</v>
      </c>
      <c r="H165" s="429" t="s">
        <v>822</v>
      </c>
      <c r="I165" s="444"/>
    </row>
    <row r="166" spans="1:9" ht="18.75" customHeight="1">
      <c r="A166" s="429">
        <v>9</v>
      </c>
      <c r="B166" s="472" t="s">
        <v>823</v>
      </c>
      <c r="C166" s="433">
        <v>21400</v>
      </c>
      <c r="D166" s="434">
        <v>59500</v>
      </c>
      <c r="E166" s="429">
        <v>5</v>
      </c>
      <c r="F166" s="429" t="s">
        <v>719</v>
      </c>
      <c r="G166" s="429" t="s">
        <v>527</v>
      </c>
      <c r="H166" s="429" t="s">
        <v>824</v>
      </c>
      <c r="I166" s="444"/>
    </row>
    <row r="167" spans="1:9" ht="18.75" customHeight="1">
      <c r="A167" s="429"/>
      <c r="B167" s="472"/>
      <c r="C167" s="433"/>
      <c r="D167" s="434"/>
      <c r="E167" s="429"/>
      <c r="F167" s="429"/>
      <c r="G167" s="429"/>
      <c r="H167" s="429"/>
      <c r="I167" s="444"/>
    </row>
    <row r="168" spans="1:9" ht="18.75" customHeight="1">
      <c r="A168" s="429"/>
      <c r="B168" s="578" t="s">
        <v>33</v>
      </c>
      <c r="C168" s="578"/>
      <c r="D168" s="432">
        <f>SUM(D158:D166)</f>
        <v>391000</v>
      </c>
      <c r="E168" s="429"/>
      <c r="F168" s="429"/>
      <c r="G168" s="429"/>
      <c r="H168" s="429"/>
      <c r="I168" s="444"/>
    </row>
    <row r="169" spans="1:9" ht="18.75" customHeight="1">
      <c r="A169" s="429"/>
      <c r="B169" s="428"/>
      <c r="C169" s="428"/>
      <c r="D169" s="435"/>
      <c r="E169" s="429"/>
      <c r="F169" s="429"/>
      <c r="G169" s="429"/>
      <c r="H169" s="429"/>
      <c r="I169" s="444"/>
    </row>
    <row r="170" spans="1:9" ht="18.75" customHeight="1">
      <c r="A170" s="429"/>
      <c r="B170" s="428" t="s">
        <v>800</v>
      </c>
      <c r="C170" s="433"/>
      <c r="D170" s="434"/>
      <c r="E170" s="429"/>
      <c r="F170" s="429"/>
      <c r="G170" s="429"/>
      <c r="H170" s="429"/>
      <c r="I170" s="474"/>
    </row>
    <row r="171" spans="1:9" ht="18.75" customHeight="1">
      <c r="A171" s="429">
        <v>1</v>
      </c>
      <c r="B171" s="447" t="s">
        <v>802</v>
      </c>
      <c r="C171" s="433">
        <v>20672</v>
      </c>
      <c r="D171" s="445">
        <v>12000</v>
      </c>
      <c r="E171" s="429">
        <v>1</v>
      </c>
      <c r="F171" s="429" t="s">
        <v>719</v>
      </c>
      <c r="G171" s="429" t="s">
        <v>527</v>
      </c>
      <c r="H171" s="429" t="s">
        <v>801</v>
      </c>
      <c r="I171" s="475"/>
    </row>
    <row r="172" spans="1:9" ht="18.75" customHeight="1">
      <c r="A172" s="429">
        <v>2</v>
      </c>
      <c r="B172" s="447" t="s">
        <v>803</v>
      </c>
      <c r="C172" s="433">
        <v>21401</v>
      </c>
      <c r="D172" s="445">
        <v>18500</v>
      </c>
      <c r="E172" s="429">
        <v>1</v>
      </c>
      <c r="F172" s="429" t="s">
        <v>719</v>
      </c>
      <c r="G172" s="429" t="s">
        <v>527</v>
      </c>
      <c r="H172" s="429" t="s">
        <v>804</v>
      </c>
      <c r="I172" s="475"/>
    </row>
    <row r="173" spans="1:9" ht="18.75" customHeight="1">
      <c r="A173" s="444"/>
      <c r="B173" s="578" t="s">
        <v>33</v>
      </c>
      <c r="C173" s="578"/>
      <c r="D173" s="432">
        <f>SUM(D171:D172)</f>
        <v>30500</v>
      </c>
      <c r="E173" s="429"/>
      <c r="F173" s="429"/>
      <c r="G173" s="429"/>
      <c r="H173" s="429"/>
      <c r="I173" s="444"/>
    </row>
    <row r="174" spans="1:9" ht="18.75" customHeight="1">
      <c r="A174" s="444"/>
      <c r="B174" s="428"/>
      <c r="C174" s="428"/>
      <c r="D174" s="435"/>
      <c r="E174" s="429"/>
      <c r="F174" s="429"/>
      <c r="G174" s="429"/>
      <c r="H174" s="429"/>
      <c r="I174" s="444"/>
    </row>
    <row r="175" spans="1:9" ht="18.75" customHeight="1">
      <c r="A175" s="429"/>
      <c r="B175" s="428" t="s">
        <v>780</v>
      </c>
      <c r="C175" s="429"/>
      <c r="D175" s="429"/>
      <c r="E175" s="429"/>
      <c r="F175" s="429"/>
      <c r="G175" s="429"/>
      <c r="I175" s="429"/>
    </row>
    <row r="176" spans="1:9" ht="18.75" customHeight="1">
      <c r="A176" s="429">
        <v>1</v>
      </c>
      <c r="B176" s="472" t="s">
        <v>782</v>
      </c>
      <c r="C176" s="433">
        <v>14749</v>
      </c>
      <c r="D176" s="434">
        <v>9000</v>
      </c>
      <c r="E176" s="429">
        <v>1</v>
      </c>
      <c r="F176" s="429" t="s">
        <v>503</v>
      </c>
      <c r="G176" s="429" t="s">
        <v>527</v>
      </c>
      <c r="H176" s="429" t="s">
        <v>781</v>
      </c>
      <c r="I176" s="429"/>
    </row>
    <row r="177" spans="1:9" ht="18.75" customHeight="1">
      <c r="A177" s="429">
        <v>2</v>
      </c>
      <c r="B177" s="472" t="s">
        <v>782</v>
      </c>
      <c r="C177" s="433">
        <v>17684</v>
      </c>
      <c r="D177" s="434">
        <v>7000</v>
      </c>
      <c r="E177" s="429">
        <v>1</v>
      </c>
      <c r="F177" s="429" t="s">
        <v>503</v>
      </c>
      <c r="G177" s="429" t="s">
        <v>527</v>
      </c>
      <c r="H177" s="429" t="s">
        <v>783</v>
      </c>
      <c r="I177" s="463"/>
    </row>
    <row r="178" spans="1:9" ht="18.75" customHeight="1">
      <c r="A178" s="429">
        <v>3</v>
      </c>
      <c r="B178" s="472" t="s">
        <v>785</v>
      </c>
      <c r="C178" s="433">
        <v>20816</v>
      </c>
      <c r="D178" s="445">
        <v>12000</v>
      </c>
      <c r="E178" s="429">
        <v>1</v>
      </c>
      <c r="F178" s="429" t="s">
        <v>503</v>
      </c>
      <c r="G178" s="429" t="s">
        <v>527</v>
      </c>
      <c r="H178" s="429" t="s">
        <v>784</v>
      </c>
      <c r="I178" s="444"/>
    </row>
    <row r="179" spans="1:9" ht="18.75" customHeight="1">
      <c r="A179" s="429">
        <v>4</v>
      </c>
      <c r="B179" s="472" t="s">
        <v>787</v>
      </c>
      <c r="C179" s="433">
        <v>17062</v>
      </c>
      <c r="D179" s="434">
        <v>7500</v>
      </c>
      <c r="E179" s="429">
        <v>1</v>
      </c>
      <c r="F179" s="429" t="s">
        <v>503</v>
      </c>
      <c r="G179" s="429" t="s">
        <v>527</v>
      </c>
      <c r="H179" s="429" t="s">
        <v>786</v>
      </c>
      <c r="I179" s="444"/>
    </row>
    <row r="180" spans="1:9" ht="18.75" customHeight="1">
      <c r="A180" s="429">
        <v>5</v>
      </c>
      <c r="B180" s="472" t="s">
        <v>789</v>
      </c>
      <c r="C180" s="433">
        <v>17062</v>
      </c>
      <c r="D180" s="434">
        <v>8500</v>
      </c>
      <c r="E180" s="429">
        <v>1</v>
      </c>
      <c r="F180" s="429" t="s">
        <v>503</v>
      </c>
      <c r="G180" s="429" t="s">
        <v>527</v>
      </c>
      <c r="H180" s="429" t="s">
        <v>788</v>
      </c>
      <c r="I180" s="473"/>
    </row>
    <row r="181" spans="1:9" ht="18.75" customHeight="1">
      <c r="A181" s="429">
        <v>6</v>
      </c>
      <c r="B181" s="472" t="s">
        <v>791</v>
      </c>
      <c r="C181" s="433">
        <v>17062</v>
      </c>
      <c r="D181" s="434">
        <v>634</v>
      </c>
      <c r="E181" s="429">
        <v>1</v>
      </c>
      <c r="F181" s="429" t="s">
        <v>503</v>
      </c>
      <c r="G181" s="429" t="s">
        <v>527</v>
      </c>
      <c r="H181" s="429" t="s">
        <v>790</v>
      </c>
      <c r="I181" s="444"/>
    </row>
    <row r="182" spans="1:9" ht="18.75" customHeight="1">
      <c r="A182" s="429">
        <v>7</v>
      </c>
      <c r="B182" s="472" t="s">
        <v>793</v>
      </c>
      <c r="C182" s="433">
        <v>15065</v>
      </c>
      <c r="D182" s="434">
        <v>4695</v>
      </c>
      <c r="E182" s="429">
        <v>1</v>
      </c>
      <c r="F182" s="429" t="s">
        <v>503</v>
      </c>
      <c r="G182" s="429" t="s">
        <v>527</v>
      </c>
      <c r="H182" s="429" t="s">
        <v>792</v>
      </c>
      <c r="I182" s="444"/>
    </row>
    <row r="183" spans="1:9" ht="18.75" customHeight="1">
      <c r="A183" s="429">
        <v>8</v>
      </c>
      <c r="B183" s="472" t="s">
        <v>795</v>
      </c>
      <c r="C183" s="433">
        <v>17062</v>
      </c>
      <c r="D183" s="434">
        <v>5000</v>
      </c>
      <c r="E183" s="429">
        <v>2</v>
      </c>
      <c r="F183" s="429" t="s">
        <v>503</v>
      </c>
      <c r="G183" s="429" t="s">
        <v>527</v>
      </c>
      <c r="H183" s="429" t="s">
        <v>794</v>
      </c>
      <c r="I183" s="447"/>
    </row>
    <row r="184" spans="1:9" ht="18.75" customHeight="1">
      <c r="A184" s="429">
        <v>9</v>
      </c>
      <c r="B184" s="447" t="s">
        <v>797</v>
      </c>
      <c r="C184" s="433">
        <v>14876</v>
      </c>
      <c r="D184" s="434">
        <v>2000</v>
      </c>
      <c r="E184" s="429">
        <v>2</v>
      </c>
      <c r="F184" s="429" t="s">
        <v>503</v>
      </c>
      <c r="G184" s="429" t="s">
        <v>527</v>
      </c>
      <c r="H184" s="429" t="s">
        <v>796</v>
      </c>
      <c r="I184" s="474"/>
    </row>
    <row r="185" spans="1:9" ht="18.75" customHeight="1">
      <c r="A185" s="429">
        <v>10</v>
      </c>
      <c r="B185" s="447" t="s">
        <v>799</v>
      </c>
      <c r="C185" s="433">
        <v>17062</v>
      </c>
      <c r="D185" s="434">
        <v>9000</v>
      </c>
      <c r="E185" s="429">
        <v>6</v>
      </c>
      <c r="F185" s="429" t="s">
        <v>503</v>
      </c>
      <c r="G185" s="429" t="s">
        <v>527</v>
      </c>
      <c r="H185" s="429" t="s">
        <v>798</v>
      </c>
      <c r="I185" s="474"/>
    </row>
    <row r="186" spans="1:9" ht="18.75" customHeight="1">
      <c r="A186" s="429"/>
      <c r="B186" s="447"/>
      <c r="C186" s="433"/>
      <c r="D186" s="434"/>
      <c r="E186" s="429"/>
      <c r="F186" s="429"/>
      <c r="G186" s="429"/>
      <c r="H186" s="429"/>
      <c r="I186" s="474"/>
    </row>
    <row r="187" spans="1:9" ht="18.75" customHeight="1">
      <c r="A187" s="429"/>
      <c r="B187" s="578" t="s">
        <v>33</v>
      </c>
      <c r="C187" s="578"/>
      <c r="D187" s="432">
        <f>SUM(D176:D185)</f>
        <v>65329</v>
      </c>
      <c r="E187" s="429"/>
      <c r="F187" s="429"/>
      <c r="G187" s="429"/>
      <c r="H187" s="429"/>
      <c r="I187" s="474"/>
    </row>
    <row r="188" spans="1:9" ht="18.75" customHeight="1">
      <c r="A188" s="429"/>
      <c r="B188" s="428" t="s">
        <v>884</v>
      </c>
      <c r="C188" s="429"/>
      <c r="D188" s="429" t="s">
        <v>757</v>
      </c>
      <c r="E188" s="429"/>
      <c r="F188" s="429"/>
      <c r="G188" s="429"/>
      <c r="H188" s="429"/>
      <c r="I188" s="429"/>
    </row>
    <row r="189" spans="1:9" ht="18.75" customHeight="1">
      <c r="A189" s="429">
        <v>1</v>
      </c>
      <c r="B189" s="447" t="s">
        <v>758</v>
      </c>
      <c r="C189" s="433">
        <v>15976</v>
      </c>
      <c r="D189" s="445">
        <v>4000</v>
      </c>
      <c r="E189" s="429">
        <v>1</v>
      </c>
      <c r="F189" s="429" t="s">
        <v>503</v>
      </c>
      <c r="G189" s="429" t="s">
        <v>527</v>
      </c>
      <c r="H189" s="429" t="s">
        <v>759</v>
      </c>
      <c r="I189" s="463"/>
    </row>
    <row r="190" spans="1:9" ht="18.75" customHeight="1">
      <c r="A190" s="429">
        <v>2</v>
      </c>
      <c r="B190" s="444" t="s">
        <v>760</v>
      </c>
      <c r="C190" s="433">
        <v>15976</v>
      </c>
      <c r="D190" s="445">
        <v>45000</v>
      </c>
      <c r="E190" s="429">
        <v>1</v>
      </c>
      <c r="F190" s="429" t="s">
        <v>503</v>
      </c>
      <c r="G190" s="429" t="s">
        <v>527</v>
      </c>
      <c r="H190" s="429" t="s">
        <v>761</v>
      </c>
      <c r="I190" s="463"/>
    </row>
    <row r="191" spans="1:9" ht="18.75" customHeight="1">
      <c r="A191" s="429">
        <v>3</v>
      </c>
      <c r="B191" s="447" t="s">
        <v>762</v>
      </c>
      <c r="C191" s="433">
        <v>19696</v>
      </c>
      <c r="D191" s="445">
        <v>6990</v>
      </c>
      <c r="E191" s="429">
        <v>1</v>
      </c>
      <c r="F191" s="429" t="s">
        <v>547</v>
      </c>
      <c r="G191" s="429" t="s">
        <v>527</v>
      </c>
      <c r="H191" s="429" t="s">
        <v>763</v>
      </c>
      <c r="I191" s="445"/>
    </row>
    <row r="192" spans="1:9" ht="18.75" customHeight="1">
      <c r="A192" s="429">
        <v>4</v>
      </c>
      <c r="B192" s="447" t="s">
        <v>764</v>
      </c>
      <c r="C192" s="433">
        <v>20056</v>
      </c>
      <c r="D192" s="445">
        <v>11900</v>
      </c>
      <c r="E192" s="429">
        <v>1</v>
      </c>
      <c r="F192" s="429" t="s">
        <v>503</v>
      </c>
      <c r="G192" s="429" t="s">
        <v>527</v>
      </c>
      <c r="H192" s="429" t="s">
        <v>765</v>
      </c>
      <c r="I192" s="463"/>
    </row>
    <row r="193" spans="1:9" ht="18.75" customHeight="1">
      <c r="A193" s="429">
        <v>5</v>
      </c>
      <c r="B193" s="447" t="s">
        <v>766</v>
      </c>
      <c r="C193" s="433">
        <v>20323</v>
      </c>
      <c r="D193" s="445">
        <v>25500</v>
      </c>
      <c r="E193" s="429">
        <v>1</v>
      </c>
      <c r="F193" s="429" t="s">
        <v>498</v>
      </c>
      <c r="G193" s="429" t="s">
        <v>527</v>
      </c>
      <c r="H193" s="429" t="s">
        <v>767</v>
      </c>
      <c r="I193" s="463"/>
    </row>
    <row r="194" spans="1:9" ht="18.75" customHeight="1">
      <c r="A194" s="429">
        <v>6</v>
      </c>
      <c r="B194" s="447" t="s">
        <v>768</v>
      </c>
      <c r="C194" s="433">
        <v>20863</v>
      </c>
      <c r="D194" s="445">
        <v>12000</v>
      </c>
      <c r="E194" s="429">
        <v>1</v>
      </c>
      <c r="F194" s="429" t="s">
        <v>503</v>
      </c>
      <c r="G194" s="429" t="s">
        <v>527</v>
      </c>
      <c r="H194" s="429" t="s">
        <v>769</v>
      </c>
      <c r="I194" s="463"/>
    </row>
    <row r="195" spans="1:9" ht="18.75" customHeight="1">
      <c r="A195" s="429">
        <v>7</v>
      </c>
      <c r="B195" s="447" t="s">
        <v>770</v>
      </c>
      <c r="C195" s="433">
        <v>20863</v>
      </c>
      <c r="D195" s="445">
        <v>4990</v>
      </c>
      <c r="E195" s="429">
        <v>1</v>
      </c>
      <c r="F195" s="429" t="s">
        <v>503</v>
      </c>
      <c r="G195" s="429" t="s">
        <v>527</v>
      </c>
      <c r="H195" s="429" t="s">
        <v>771</v>
      </c>
      <c r="I195" s="463"/>
    </row>
    <row r="196" spans="1:9" ht="18.75" customHeight="1">
      <c r="A196" s="429">
        <v>8</v>
      </c>
      <c r="B196" s="447" t="s">
        <v>772</v>
      </c>
      <c r="C196" s="433">
        <v>20863</v>
      </c>
      <c r="D196" s="445">
        <v>71820</v>
      </c>
      <c r="E196" s="429">
        <v>18</v>
      </c>
      <c r="F196" s="429" t="s">
        <v>503</v>
      </c>
      <c r="G196" s="429" t="s">
        <v>527</v>
      </c>
      <c r="H196" s="429" t="s">
        <v>773</v>
      </c>
      <c r="I196" s="463"/>
    </row>
    <row r="197" spans="1:9" ht="18.75" customHeight="1">
      <c r="A197" s="429">
        <v>9</v>
      </c>
      <c r="B197" s="447" t="s">
        <v>758</v>
      </c>
      <c r="C197" s="433">
        <v>20863</v>
      </c>
      <c r="D197" s="445">
        <v>31900</v>
      </c>
      <c r="E197" s="429">
        <v>1</v>
      </c>
      <c r="F197" s="429" t="s">
        <v>503</v>
      </c>
      <c r="G197" s="429" t="s">
        <v>527</v>
      </c>
      <c r="H197" s="429" t="s">
        <v>774</v>
      </c>
      <c r="I197" s="463"/>
    </row>
    <row r="198" spans="1:9" ht="18.75" customHeight="1">
      <c r="A198" s="429">
        <v>10</v>
      </c>
      <c r="B198" s="447" t="s">
        <v>775</v>
      </c>
      <c r="C198" s="433">
        <v>20863</v>
      </c>
      <c r="D198" s="445">
        <v>39000</v>
      </c>
      <c r="E198" s="429">
        <v>1</v>
      </c>
      <c r="F198" s="429" t="s">
        <v>503</v>
      </c>
      <c r="G198" s="429" t="s">
        <v>527</v>
      </c>
      <c r="H198" s="429" t="s">
        <v>776</v>
      </c>
      <c r="I198" s="463"/>
    </row>
    <row r="199" spans="1:9" ht="18.75" customHeight="1">
      <c r="A199" s="429">
        <v>11</v>
      </c>
      <c r="B199" s="469" t="s">
        <v>777</v>
      </c>
      <c r="C199" s="470">
        <v>21033</v>
      </c>
      <c r="D199" s="471">
        <v>209000</v>
      </c>
      <c r="E199" s="429">
        <v>1</v>
      </c>
      <c r="F199" s="429" t="s">
        <v>503</v>
      </c>
      <c r="G199" s="429" t="s">
        <v>491</v>
      </c>
      <c r="H199" s="425" t="s">
        <v>778</v>
      </c>
      <c r="I199" s="429"/>
    </row>
    <row r="200" spans="1:9" ht="18.75" customHeight="1">
      <c r="A200" s="429">
        <v>12</v>
      </c>
      <c r="B200" s="469" t="s">
        <v>270</v>
      </c>
      <c r="C200" s="470">
        <v>21411</v>
      </c>
      <c r="D200" s="471">
        <v>898000</v>
      </c>
      <c r="E200" s="429">
        <v>1</v>
      </c>
      <c r="F200" s="429" t="s">
        <v>503</v>
      </c>
      <c r="G200" s="429" t="s">
        <v>491</v>
      </c>
      <c r="H200" s="425" t="s">
        <v>779</v>
      </c>
      <c r="I200" s="526" t="s">
        <v>148</v>
      </c>
    </row>
    <row r="201" spans="1:9" ht="18.75" customHeight="1">
      <c r="A201" s="429"/>
      <c r="B201" s="578" t="s">
        <v>33</v>
      </c>
      <c r="C201" s="578"/>
      <c r="D201" s="432">
        <f>SUM(D189:D200)</f>
        <v>1360100</v>
      </c>
      <c r="E201" s="429"/>
      <c r="F201" s="429"/>
      <c r="G201" s="429"/>
      <c r="H201" s="429"/>
      <c r="I201" s="429"/>
    </row>
    <row r="202" spans="1:9" ht="18.75" customHeight="1">
      <c r="A202" s="429"/>
      <c r="B202" s="428" t="s">
        <v>887</v>
      </c>
      <c r="C202" s="433"/>
      <c r="D202" s="434"/>
      <c r="E202" s="429"/>
      <c r="F202" s="429"/>
      <c r="G202" s="429"/>
      <c r="I202" s="444"/>
    </row>
    <row r="203" spans="1:9" ht="18.75" customHeight="1">
      <c r="A203" s="429">
        <v>1</v>
      </c>
      <c r="B203" s="472" t="s">
        <v>826</v>
      </c>
      <c r="C203" s="433">
        <v>20671</v>
      </c>
      <c r="D203" s="434">
        <v>72000</v>
      </c>
      <c r="E203" s="429">
        <v>3</v>
      </c>
      <c r="F203" s="429" t="s">
        <v>750</v>
      </c>
      <c r="G203" s="429" t="s">
        <v>527</v>
      </c>
      <c r="H203" s="429" t="s">
        <v>825</v>
      </c>
      <c r="I203" s="444"/>
    </row>
    <row r="204" spans="1:9" ht="18.75" customHeight="1">
      <c r="A204" s="429">
        <v>2</v>
      </c>
      <c r="B204" s="472" t="s">
        <v>828</v>
      </c>
      <c r="C204" s="433">
        <v>20717</v>
      </c>
      <c r="D204" s="434">
        <v>81000</v>
      </c>
      <c r="E204" s="429">
        <v>3</v>
      </c>
      <c r="F204" s="429" t="s">
        <v>750</v>
      </c>
      <c r="G204" s="429" t="s">
        <v>527</v>
      </c>
      <c r="H204" s="429" t="s">
        <v>827</v>
      </c>
      <c r="I204" s="444"/>
    </row>
    <row r="205" spans="1:9" ht="18.75" customHeight="1">
      <c r="A205" s="429"/>
      <c r="B205" s="578" t="s">
        <v>33</v>
      </c>
      <c r="C205" s="578"/>
      <c r="D205" s="432">
        <f>SUM(D203:D204)</f>
        <v>153000</v>
      </c>
      <c r="E205" s="429"/>
      <c r="F205" s="429"/>
      <c r="G205" s="429"/>
      <c r="H205" s="429"/>
      <c r="I205" s="444"/>
    </row>
    <row r="206" spans="1:9" ht="18.75" customHeight="1">
      <c r="A206" s="429"/>
      <c r="B206" s="428" t="s">
        <v>829</v>
      </c>
      <c r="C206" s="429"/>
      <c r="D206" s="429"/>
      <c r="E206" s="429"/>
      <c r="F206" s="429"/>
      <c r="G206" s="429"/>
      <c r="I206" s="444"/>
    </row>
    <row r="207" spans="1:9" ht="18.75" customHeight="1">
      <c r="A207" s="429">
        <v>1</v>
      </c>
      <c r="B207" s="472" t="s">
        <v>831</v>
      </c>
      <c r="C207" s="433">
        <v>16707</v>
      </c>
      <c r="D207" s="434">
        <v>5800</v>
      </c>
      <c r="E207" s="429">
        <v>1</v>
      </c>
      <c r="F207" s="429" t="s">
        <v>503</v>
      </c>
      <c r="G207" s="429" t="s">
        <v>527</v>
      </c>
      <c r="H207" s="429" t="s">
        <v>830</v>
      </c>
      <c r="I207" s="444"/>
    </row>
    <row r="208" spans="1:9" ht="18.75" customHeight="1">
      <c r="A208" s="429">
        <v>2</v>
      </c>
      <c r="B208" s="472" t="s">
        <v>833</v>
      </c>
      <c r="C208" s="433">
        <v>19253</v>
      </c>
      <c r="D208" s="434">
        <v>9951</v>
      </c>
      <c r="E208" s="429">
        <v>1</v>
      </c>
      <c r="F208" s="429" t="s">
        <v>503</v>
      </c>
      <c r="G208" s="429" t="s">
        <v>527</v>
      </c>
      <c r="H208" s="429" t="s">
        <v>832</v>
      </c>
      <c r="I208" s="444"/>
    </row>
    <row r="209" spans="1:9" ht="18.75" customHeight="1">
      <c r="A209" s="429">
        <v>3</v>
      </c>
      <c r="B209" s="472" t="s">
        <v>835</v>
      </c>
      <c r="C209" s="433">
        <v>17425</v>
      </c>
      <c r="D209" s="429">
        <v>390</v>
      </c>
      <c r="E209" s="429">
        <v>1</v>
      </c>
      <c r="F209" s="429" t="s">
        <v>503</v>
      </c>
      <c r="G209" s="429" t="s">
        <v>527</v>
      </c>
      <c r="H209" s="429" t="s">
        <v>834</v>
      </c>
      <c r="I209" s="444"/>
    </row>
    <row r="210" spans="1:9" ht="18.75" customHeight="1">
      <c r="A210" s="429">
        <v>4</v>
      </c>
      <c r="B210" s="472" t="s">
        <v>837</v>
      </c>
      <c r="C210" s="433">
        <v>20877</v>
      </c>
      <c r="D210" s="445">
        <v>5700</v>
      </c>
      <c r="E210" s="429">
        <v>1</v>
      </c>
      <c r="F210" s="429" t="s">
        <v>503</v>
      </c>
      <c r="G210" s="482" t="s">
        <v>563</v>
      </c>
      <c r="H210" s="429" t="s">
        <v>836</v>
      </c>
      <c r="I210" s="522" t="s">
        <v>898</v>
      </c>
    </row>
    <row r="211" spans="1:9" ht="18.75" customHeight="1">
      <c r="A211" s="429">
        <v>5</v>
      </c>
      <c r="B211" s="472" t="s">
        <v>839</v>
      </c>
      <c r="C211" s="433">
        <v>17684</v>
      </c>
      <c r="D211" s="434">
        <v>3200</v>
      </c>
      <c r="E211" s="429">
        <v>1</v>
      </c>
      <c r="F211" s="429" t="s">
        <v>503</v>
      </c>
      <c r="G211" s="429" t="s">
        <v>527</v>
      </c>
      <c r="H211" s="429" t="s">
        <v>838</v>
      </c>
      <c r="I211" s="429"/>
    </row>
    <row r="212" spans="1:9" ht="18.75" customHeight="1">
      <c r="A212" s="429">
        <v>6</v>
      </c>
      <c r="B212" s="472" t="s">
        <v>839</v>
      </c>
      <c r="C212" s="433">
        <v>19769</v>
      </c>
      <c r="D212" s="434">
        <v>3200</v>
      </c>
      <c r="E212" s="429">
        <v>1</v>
      </c>
      <c r="F212" s="429" t="s">
        <v>503</v>
      </c>
      <c r="G212" s="429" t="s">
        <v>527</v>
      </c>
      <c r="H212" s="429" t="s">
        <v>840</v>
      </c>
      <c r="I212" s="429"/>
    </row>
    <row r="213" spans="1:9" ht="18.75" customHeight="1">
      <c r="A213" s="429">
        <v>7</v>
      </c>
      <c r="B213" s="472" t="s">
        <v>842</v>
      </c>
      <c r="C213" s="433">
        <v>15762</v>
      </c>
      <c r="D213" s="434">
        <v>4000</v>
      </c>
      <c r="E213" s="429">
        <v>2</v>
      </c>
      <c r="F213" s="429" t="s">
        <v>503</v>
      </c>
      <c r="G213" s="429" t="s">
        <v>527</v>
      </c>
      <c r="H213" s="429" t="s">
        <v>841</v>
      </c>
      <c r="I213" s="444"/>
    </row>
    <row r="214" spans="1:9" ht="18.75" customHeight="1">
      <c r="A214" s="429">
        <v>8</v>
      </c>
      <c r="B214" s="472" t="s">
        <v>844</v>
      </c>
      <c r="C214" s="433">
        <v>17734</v>
      </c>
      <c r="D214" s="434">
        <v>82800</v>
      </c>
      <c r="E214" s="429">
        <v>9</v>
      </c>
      <c r="F214" s="429" t="s">
        <v>503</v>
      </c>
      <c r="G214" s="429" t="s">
        <v>527</v>
      </c>
      <c r="H214" s="429" t="s">
        <v>843</v>
      </c>
      <c r="I214" s="429"/>
    </row>
    <row r="215" spans="1:9" ht="18.75" customHeight="1">
      <c r="A215" s="429"/>
      <c r="B215" s="578" t="s">
        <v>33</v>
      </c>
      <c r="C215" s="578"/>
      <c r="D215" s="432">
        <f>SUM(D207:D214)</f>
        <v>115041</v>
      </c>
      <c r="E215" s="429"/>
      <c r="F215" s="429"/>
      <c r="G215" s="429"/>
      <c r="H215" s="429"/>
      <c r="I215" s="444"/>
    </row>
    <row r="216" spans="1:9" ht="18" customHeight="1">
      <c r="A216" s="429"/>
      <c r="B216" s="428" t="s">
        <v>805</v>
      </c>
      <c r="C216" s="433"/>
      <c r="D216" s="445"/>
      <c r="E216" s="429"/>
      <c r="F216" s="429"/>
      <c r="G216" s="429"/>
      <c r="H216" s="429"/>
      <c r="I216" s="475"/>
    </row>
    <row r="217" spans="1:9" ht="18.75" customHeight="1">
      <c r="A217" s="429">
        <v>1</v>
      </c>
      <c r="B217" s="472" t="s">
        <v>878</v>
      </c>
      <c r="C217" s="433">
        <v>21067</v>
      </c>
      <c r="D217" s="445">
        <v>12500</v>
      </c>
      <c r="E217" s="429">
        <v>1</v>
      </c>
      <c r="F217" s="429" t="s">
        <v>498</v>
      </c>
      <c r="G217" s="429" t="s">
        <v>527</v>
      </c>
      <c r="H217" s="429" t="s">
        <v>877</v>
      </c>
      <c r="I217" s="444"/>
    </row>
    <row r="218" spans="1:9" ht="18.75" customHeight="1">
      <c r="A218" s="429">
        <v>2</v>
      </c>
      <c r="B218" s="447" t="s">
        <v>806</v>
      </c>
      <c r="C218" s="433">
        <v>21373</v>
      </c>
      <c r="D218" s="445">
        <v>5000</v>
      </c>
      <c r="E218" s="429">
        <v>1</v>
      </c>
      <c r="F218" s="429" t="s">
        <v>719</v>
      </c>
      <c r="G218" s="429" t="s">
        <v>527</v>
      </c>
      <c r="H218" s="429" t="s">
        <v>807</v>
      </c>
      <c r="I218" s="475"/>
    </row>
    <row r="219" spans="1:9" ht="18" customHeight="1">
      <c r="A219" s="444"/>
      <c r="B219" s="578" t="s">
        <v>33</v>
      </c>
      <c r="C219" s="578"/>
      <c r="D219" s="432">
        <f>SUM(D217:D218)</f>
        <v>17500</v>
      </c>
      <c r="E219" s="429"/>
      <c r="F219" s="429"/>
      <c r="G219" s="429"/>
      <c r="H219" s="429"/>
      <c r="I219" s="476"/>
    </row>
    <row r="220" spans="1:9" ht="18" customHeight="1">
      <c r="A220" s="429"/>
      <c r="B220" s="428" t="s">
        <v>885</v>
      </c>
      <c r="C220" s="429"/>
      <c r="D220" s="429"/>
      <c r="E220" s="429"/>
      <c r="F220" s="579"/>
      <c r="G220" s="580"/>
      <c r="I220" s="430"/>
    </row>
    <row r="221" spans="1:9" ht="18" customHeight="1">
      <c r="A221" s="429">
        <v>1</v>
      </c>
      <c r="B221" s="447" t="s">
        <v>861</v>
      </c>
      <c r="C221" s="433">
        <v>16909</v>
      </c>
      <c r="D221" s="434">
        <v>21100</v>
      </c>
      <c r="E221" s="429">
        <v>1</v>
      </c>
      <c r="F221" s="429" t="s">
        <v>498</v>
      </c>
      <c r="G221" s="429" t="s">
        <v>527</v>
      </c>
      <c r="H221" s="429" t="s">
        <v>860</v>
      </c>
      <c r="I221" s="430"/>
    </row>
    <row r="222" spans="1:9" ht="18" customHeight="1">
      <c r="A222" s="429">
        <v>2</v>
      </c>
      <c r="B222" s="447" t="s">
        <v>863</v>
      </c>
      <c r="C222" s="433">
        <v>18677</v>
      </c>
      <c r="D222" s="434">
        <v>15000</v>
      </c>
      <c r="E222" s="429">
        <v>1</v>
      </c>
      <c r="F222" s="429" t="s">
        <v>498</v>
      </c>
      <c r="G222" s="429" t="s">
        <v>527</v>
      </c>
      <c r="H222" s="429" t="s">
        <v>862</v>
      </c>
      <c r="I222" s="430"/>
    </row>
    <row r="223" spans="1:9" ht="18" customHeight="1">
      <c r="A223" s="429">
        <v>3</v>
      </c>
      <c r="B223" s="444" t="s">
        <v>865</v>
      </c>
      <c r="C223" s="433">
        <v>16706</v>
      </c>
      <c r="D223" s="434">
        <v>5500</v>
      </c>
      <c r="E223" s="429">
        <v>1</v>
      </c>
      <c r="F223" s="429" t="s">
        <v>498</v>
      </c>
      <c r="G223" s="429" t="s">
        <v>527</v>
      </c>
      <c r="H223" s="429" t="s">
        <v>864</v>
      </c>
      <c r="I223" s="430"/>
    </row>
    <row r="224" spans="1:9" ht="18" customHeight="1">
      <c r="A224" s="429">
        <v>4</v>
      </c>
      <c r="B224" s="444" t="s">
        <v>867</v>
      </c>
      <c r="C224" s="433">
        <v>16909</v>
      </c>
      <c r="D224" s="434">
        <v>2300</v>
      </c>
      <c r="E224" s="429">
        <v>1</v>
      </c>
      <c r="F224" s="429" t="s">
        <v>498</v>
      </c>
      <c r="G224" s="429" t="s">
        <v>527</v>
      </c>
      <c r="H224" s="429" t="s">
        <v>866</v>
      </c>
      <c r="I224" s="430"/>
    </row>
    <row r="225" spans="1:9" ht="18" customHeight="1">
      <c r="A225" s="429">
        <v>5</v>
      </c>
      <c r="B225" s="444" t="s">
        <v>869</v>
      </c>
      <c r="C225" s="433">
        <v>16909</v>
      </c>
      <c r="D225" s="434">
        <v>3000</v>
      </c>
      <c r="E225" s="429">
        <v>1</v>
      </c>
      <c r="F225" s="429" t="s">
        <v>498</v>
      </c>
      <c r="G225" s="429" t="s">
        <v>527</v>
      </c>
      <c r="H225" s="429" t="s">
        <v>868</v>
      </c>
      <c r="I225" s="430"/>
    </row>
    <row r="226" spans="1:9" ht="18" customHeight="1">
      <c r="A226" s="429">
        <v>6</v>
      </c>
      <c r="B226" s="444" t="s">
        <v>871</v>
      </c>
      <c r="C226" s="433">
        <v>20336</v>
      </c>
      <c r="D226" s="434">
        <v>26000</v>
      </c>
      <c r="E226" s="429">
        <v>1</v>
      </c>
      <c r="F226" s="429" t="s">
        <v>498</v>
      </c>
      <c r="G226" s="429" t="s">
        <v>527</v>
      </c>
      <c r="H226" s="429" t="s">
        <v>870</v>
      </c>
      <c r="I226" s="429"/>
    </row>
    <row r="227" spans="1:9" ht="18" customHeight="1">
      <c r="A227" s="429"/>
      <c r="B227" s="578" t="s">
        <v>33</v>
      </c>
      <c r="C227" s="578"/>
      <c r="D227" s="432">
        <f>SUM(D221:D226)</f>
        <v>72900</v>
      </c>
      <c r="E227" s="581" t="s">
        <v>872</v>
      </c>
      <c r="F227" s="581"/>
      <c r="G227" s="429"/>
      <c r="H227" s="429"/>
      <c r="I227" s="444"/>
    </row>
    <row r="228" spans="1:9" ht="18" customHeight="1">
      <c r="A228" s="429"/>
      <c r="B228" s="428" t="s">
        <v>112</v>
      </c>
      <c r="C228" s="428"/>
      <c r="D228" s="435"/>
      <c r="E228" s="429"/>
      <c r="F228" s="429"/>
      <c r="G228" s="429"/>
      <c r="H228" s="468"/>
      <c r="I228" s="430"/>
    </row>
    <row r="229" spans="1:9" ht="18" customHeight="1">
      <c r="A229" s="429">
        <v>1</v>
      </c>
      <c r="B229" s="447" t="s">
        <v>727</v>
      </c>
      <c r="C229" s="433">
        <v>17070</v>
      </c>
      <c r="D229" s="445">
        <v>42100</v>
      </c>
      <c r="E229" s="429">
        <v>1</v>
      </c>
      <c r="F229" s="429" t="s">
        <v>503</v>
      </c>
      <c r="G229" s="429" t="s">
        <v>527</v>
      </c>
      <c r="H229" s="429" t="s">
        <v>728</v>
      </c>
      <c r="I229" s="463"/>
    </row>
    <row r="230" spans="1:9" ht="18" customHeight="1">
      <c r="A230" s="429">
        <v>2</v>
      </c>
      <c r="B230" s="447" t="s">
        <v>727</v>
      </c>
      <c r="C230" s="433">
        <v>17670</v>
      </c>
      <c r="D230" s="445">
        <v>45500</v>
      </c>
      <c r="E230" s="429">
        <v>1</v>
      </c>
      <c r="F230" s="429" t="s">
        <v>547</v>
      </c>
      <c r="G230" s="429" t="s">
        <v>527</v>
      </c>
      <c r="H230" s="429" t="s">
        <v>729</v>
      </c>
      <c r="I230" s="463"/>
    </row>
    <row r="231" spans="1:9" ht="18" customHeight="1">
      <c r="A231" s="429">
        <v>3</v>
      </c>
      <c r="B231" s="447" t="s">
        <v>727</v>
      </c>
      <c r="C231" s="433">
        <v>17680</v>
      </c>
      <c r="D231" s="445">
        <v>45500</v>
      </c>
      <c r="E231" s="429">
        <v>1</v>
      </c>
      <c r="F231" s="429" t="s">
        <v>498</v>
      </c>
      <c r="G231" s="429" t="s">
        <v>527</v>
      </c>
      <c r="H231" s="429" t="s">
        <v>730</v>
      </c>
      <c r="I231" s="463"/>
    </row>
    <row r="232" spans="1:9" ht="18" customHeight="1">
      <c r="A232" s="429">
        <v>4</v>
      </c>
      <c r="B232" s="447" t="s">
        <v>727</v>
      </c>
      <c r="C232" s="433">
        <v>17767</v>
      </c>
      <c r="D232" s="445">
        <v>34600</v>
      </c>
      <c r="E232" s="429">
        <v>1</v>
      </c>
      <c r="F232" s="429" t="s">
        <v>503</v>
      </c>
      <c r="G232" s="429" t="s">
        <v>527</v>
      </c>
      <c r="H232" s="429" t="s">
        <v>731</v>
      </c>
      <c r="I232" s="463"/>
    </row>
    <row r="233" spans="1:9" ht="18" customHeight="1">
      <c r="A233" s="429">
        <v>5</v>
      </c>
      <c r="B233" s="447" t="s">
        <v>727</v>
      </c>
      <c r="C233" s="433">
        <v>18666</v>
      </c>
      <c r="D233" s="445">
        <v>65200</v>
      </c>
      <c r="E233" s="429">
        <v>2</v>
      </c>
      <c r="F233" s="454" t="s">
        <v>704</v>
      </c>
      <c r="G233" s="429" t="s">
        <v>491</v>
      </c>
      <c r="H233" s="429" t="s">
        <v>732</v>
      </c>
      <c r="I233" s="463"/>
    </row>
    <row r="234" spans="1:9" ht="18" customHeight="1">
      <c r="A234" s="429">
        <v>6</v>
      </c>
      <c r="B234" s="464" t="s">
        <v>733</v>
      </c>
      <c r="C234" s="456">
        <v>18666</v>
      </c>
      <c r="D234" s="457">
        <v>113400</v>
      </c>
      <c r="E234" s="458">
        <v>3</v>
      </c>
      <c r="F234" s="467" t="s">
        <v>734</v>
      </c>
      <c r="G234" s="458" t="s">
        <v>491</v>
      </c>
      <c r="H234" s="458" t="s">
        <v>735</v>
      </c>
      <c r="I234" s="465"/>
    </row>
    <row r="235" spans="1:9" ht="18" customHeight="1">
      <c r="A235" s="429">
        <v>7</v>
      </c>
      <c r="B235" s="447" t="s">
        <v>727</v>
      </c>
      <c r="C235" s="433">
        <v>19714</v>
      </c>
      <c r="D235" s="445">
        <v>25000</v>
      </c>
      <c r="E235" s="429">
        <v>1</v>
      </c>
      <c r="F235" s="429" t="s">
        <v>547</v>
      </c>
      <c r="G235" s="429" t="s">
        <v>527</v>
      </c>
      <c r="H235" s="429" t="s">
        <v>736</v>
      </c>
      <c r="I235" s="463"/>
    </row>
    <row r="236" spans="1:9" ht="18" customHeight="1">
      <c r="A236" s="429">
        <v>8</v>
      </c>
      <c r="B236" s="447" t="s">
        <v>727</v>
      </c>
      <c r="C236" s="433">
        <v>19714</v>
      </c>
      <c r="D236" s="445">
        <v>25000</v>
      </c>
      <c r="E236" s="429">
        <v>1</v>
      </c>
      <c r="F236" s="429" t="s">
        <v>503</v>
      </c>
      <c r="G236" s="429" t="s">
        <v>527</v>
      </c>
      <c r="H236" s="429" t="s">
        <v>737</v>
      </c>
      <c r="I236" s="463"/>
    </row>
    <row r="237" spans="1:9" ht="18" customHeight="1">
      <c r="A237" s="429">
        <v>9</v>
      </c>
      <c r="B237" s="447" t="s">
        <v>727</v>
      </c>
      <c r="C237" s="433">
        <v>19714</v>
      </c>
      <c r="D237" s="445">
        <v>25000</v>
      </c>
      <c r="E237" s="429">
        <v>1</v>
      </c>
      <c r="F237" s="429" t="s">
        <v>503</v>
      </c>
      <c r="G237" s="429" t="s">
        <v>527</v>
      </c>
      <c r="H237" s="429" t="s">
        <v>738</v>
      </c>
      <c r="I237" s="463"/>
    </row>
    <row r="238" spans="1:9" ht="18" customHeight="1">
      <c r="A238" s="429">
        <v>10</v>
      </c>
      <c r="B238" s="447" t="s">
        <v>733</v>
      </c>
      <c r="C238" s="433">
        <v>19906</v>
      </c>
      <c r="D238" s="445">
        <v>18000</v>
      </c>
      <c r="E238" s="429">
        <v>1</v>
      </c>
      <c r="F238" s="429" t="s">
        <v>503</v>
      </c>
      <c r="G238" s="429" t="s">
        <v>527</v>
      </c>
      <c r="H238" s="429" t="s">
        <v>739</v>
      </c>
      <c r="I238" s="463"/>
    </row>
    <row r="239" spans="1:9" ht="18" customHeight="1">
      <c r="A239" s="429">
        <v>11</v>
      </c>
      <c r="B239" s="447" t="s">
        <v>727</v>
      </c>
      <c r="C239" s="433">
        <v>19906</v>
      </c>
      <c r="D239" s="445">
        <v>33500</v>
      </c>
      <c r="E239" s="429">
        <v>1</v>
      </c>
      <c r="F239" s="429" t="s">
        <v>547</v>
      </c>
      <c r="G239" s="429" t="s">
        <v>527</v>
      </c>
      <c r="H239" s="429" t="s">
        <v>740</v>
      </c>
      <c r="I239" s="463"/>
    </row>
    <row r="240" spans="1:9" ht="18" customHeight="1">
      <c r="A240" s="429">
        <v>12</v>
      </c>
      <c r="B240" s="447" t="s">
        <v>727</v>
      </c>
      <c r="C240" s="433">
        <v>20316</v>
      </c>
      <c r="D240" s="445">
        <v>28900</v>
      </c>
      <c r="E240" s="429">
        <v>1</v>
      </c>
      <c r="F240" s="429" t="s">
        <v>498</v>
      </c>
      <c r="G240" s="429" t="s">
        <v>527</v>
      </c>
      <c r="H240" s="429" t="s">
        <v>741</v>
      </c>
      <c r="I240" s="463"/>
    </row>
    <row r="241" spans="1:9" ht="18" customHeight="1">
      <c r="A241" s="429">
        <v>13</v>
      </c>
      <c r="B241" s="447" t="s">
        <v>727</v>
      </c>
      <c r="C241" s="433">
        <v>20316</v>
      </c>
      <c r="D241" s="445">
        <v>28900</v>
      </c>
      <c r="E241" s="429">
        <v>1</v>
      </c>
      <c r="F241" s="429" t="s">
        <v>547</v>
      </c>
      <c r="G241" s="429" t="s">
        <v>527</v>
      </c>
      <c r="H241" s="429" t="s">
        <v>742</v>
      </c>
      <c r="I241" s="463"/>
    </row>
    <row r="242" spans="1:9" ht="18" customHeight="1">
      <c r="A242" s="429">
        <v>14</v>
      </c>
      <c r="B242" s="447" t="s">
        <v>727</v>
      </c>
      <c r="C242" s="433">
        <v>20316</v>
      </c>
      <c r="D242" s="445">
        <v>18300</v>
      </c>
      <c r="E242" s="429">
        <v>1</v>
      </c>
      <c r="F242" s="429" t="s">
        <v>503</v>
      </c>
      <c r="G242" s="429" t="s">
        <v>527</v>
      </c>
      <c r="H242" s="429" t="s">
        <v>743</v>
      </c>
      <c r="I242" s="463"/>
    </row>
    <row r="243" spans="1:9" ht="18" customHeight="1">
      <c r="A243" s="429">
        <v>15</v>
      </c>
      <c r="B243" s="447" t="s">
        <v>727</v>
      </c>
      <c r="C243" s="433">
        <v>20316</v>
      </c>
      <c r="D243" s="445">
        <v>18300</v>
      </c>
      <c r="E243" s="429">
        <v>1</v>
      </c>
      <c r="F243" s="429" t="s">
        <v>503</v>
      </c>
      <c r="G243" s="429" t="s">
        <v>527</v>
      </c>
      <c r="H243" s="429" t="s">
        <v>744</v>
      </c>
      <c r="I243" s="463"/>
    </row>
    <row r="244" spans="1:9" ht="18" customHeight="1">
      <c r="A244" s="429">
        <v>16</v>
      </c>
      <c r="B244" s="447" t="s">
        <v>727</v>
      </c>
      <c r="C244" s="433">
        <v>20316</v>
      </c>
      <c r="D244" s="445">
        <v>16000</v>
      </c>
      <c r="E244" s="429">
        <v>1</v>
      </c>
      <c r="F244" s="429" t="s">
        <v>222</v>
      </c>
      <c r="G244" s="482" t="s">
        <v>563</v>
      </c>
      <c r="H244" s="429" t="s">
        <v>745</v>
      </c>
      <c r="I244" s="522" t="s">
        <v>898</v>
      </c>
    </row>
    <row r="245" spans="1:9" ht="18" customHeight="1">
      <c r="A245" s="429">
        <v>17</v>
      </c>
      <c r="B245" s="447" t="s">
        <v>733</v>
      </c>
      <c r="C245" s="433">
        <v>20650</v>
      </c>
      <c r="D245" s="445">
        <v>38000</v>
      </c>
      <c r="E245" s="429">
        <v>2</v>
      </c>
      <c r="F245" s="429" t="s">
        <v>503</v>
      </c>
      <c r="G245" s="429" t="s">
        <v>527</v>
      </c>
      <c r="H245" s="429" t="s">
        <v>746</v>
      </c>
      <c r="I245" s="463"/>
    </row>
    <row r="246" spans="1:9" ht="18" customHeight="1">
      <c r="A246" s="429">
        <v>18</v>
      </c>
      <c r="B246" s="447" t="s">
        <v>727</v>
      </c>
      <c r="C246" s="433">
        <v>20695</v>
      </c>
      <c r="D246" s="445">
        <v>25000</v>
      </c>
      <c r="E246" s="429">
        <v>1</v>
      </c>
      <c r="F246" s="429" t="s">
        <v>503</v>
      </c>
      <c r="G246" s="429" t="s">
        <v>527</v>
      </c>
      <c r="H246" s="429" t="s">
        <v>747</v>
      </c>
      <c r="I246" s="463"/>
    </row>
    <row r="247" spans="1:9" ht="18" customHeight="1">
      <c r="A247" s="429">
        <v>19</v>
      </c>
      <c r="B247" s="447" t="s">
        <v>727</v>
      </c>
      <c r="C247" s="433">
        <v>20543</v>
      </c>
      <c r="D247" s="445">
        <v>25900</v>
      </c>
      <c r="E247" s="429">
        <v>1</v>
      </c>
      <c r="F247" s="429" t="s">
        <v>222</v>
      </c>
      <c r="G247" s="429" t="s">
        <v>527</v>
      </c>
      <c r="H247" s="429" t="s">
        <v>748</v>
      </c>
      <c r="I247" s="463"/>
    </row>
    <row r="248" spans="1:9" ht="18" customHeight="1">
      <c r="A248" s="429">
        <v>20</v>
      </c>
      <c r="B248" s="447" t="s">
        <v>749</v>
      </c>
      <c r="C248" s="433">
        <v>20682</v>
      </c>
      <c r="D248" s="445">
        <v>3600</v>
      </c>
      <c r="E248" s="429">
        <v>1</v>
      </c>
      <c r="F248" s="429" t="s">
        <v>750</v>
      </c>
      <c r="G248" s="429" t="s">
        <v>527</v>
      </c>
      <c r="H248" s="429" t="s">
        <v>751</v>
      </c>
      <c r="I248" s="463"/>
    </row>
    <row r="249" spans="1:9" ht="18" customHeight="1">
      <c r="A249" s="429">
        <v>21</v>
      </c>
      <c r="B249" s="447" t="s">
        <v>752</v>
      </c>
      <c r="C249" s="433">
        <v>20316</v>
      </c>
      <c r="D249" s="445">
        <v>2490</v>
      </c>
      <c r="E249" s="429">
        <v>1</v>
      </c>
      <c r="F249" s="429" t="s">
        <v>547</v>
      </c>
      <c r="G249" s="429" t="s">
        <v>491</v>
      </c>
      <c r="H249" s="429" t="s">
        <v>753</v>
      </c>
      <c r="I249" s="446"/>
    </row>
    <row r="250" spans="1:9" ht="18" customHeight="1">
      <c r="A250" s="429">
        <v>22</v>
      </c>
      <c r="B250" s="447" t="s">
        <v>752</v>
      </c>
      <c r="C250" s="433">
        <v>20681</v>
      </c>
      <c r="D250" s="445">
        <v>3400</v>
      </c>
      <c r="E250" s="429">
        <v>2</v>
      </c>
      <c r="F250" s="429" t="s">
        <v>754</v>
      </c>
      <c r="G250" s="429" t="s">
        <v>527</v>
      </c>
      <c r="H250" s="429" t="s">
        <v>755</v>
      </c>
      <c r="I250" s="446"/>
    </row>
    <row r="251" spans="1:9" ht="18" customHeight="1">
      <c r="A251" s="429">
        <v>23</v>
      </c>
      <c r="B251" s="447" t="s">
        <v>752</v>
      </c>
      <c r="C251" s="433">
        <v>21388</v>
      </c>
      <c r="D251" s="445">
        <v>2490</v>
      </c>
      <c r="E251" s="429">
        <v>1</v>
      </c>
      <c r="F251" s="482" t="s">
        <v>563</v>
      </c>
      <c r="G251" s="429" t="s">
        <v>527</v>
      </c>
      <c r="H251" s="429" t="s">
        <v>756</v>
      </c>
      <c r="I251" s="522" t="s">
        <v>898</v>
      </c>
    </row>
    <row r="252" spans="1:9" ht="18" customHeight="1">
      <c r="A252" s="429"/>
      <c r="B252" s="578" t="s">
        <v>33</v>
      </c>
      <c r="C252" s="578"/>
      <c r="D252" s="432">
        <f>SUM(D229:D251)</f>
        <v>684080</v>
      </c>
      <c r="E252" s="429"/>
      <c r="F252" s="429"/>
      <c r="G252" s="429"/>
      <c r="H252" s="429"/>
      <c r="I252" s="430"/>
    </row>
    <row r="253" spans="1:9" ht="18.75" customHeight="1">
      <c r="A253" s="429"/>
      <c r="B253" s="428" t="s">
        <v>886</v>
      </c>
      <c r="C253" s="429"/>
      <c r="D253" s="429"/>
      <c r="E253" s="429"/>
      <c r="F253" s="429"/>
      <c r="G253" s="429"/>
      <c r="H253" s="429"/>
      <c r="I253" s="444"/>
    </row>
    <row r="254" spans="1:9" ht="18.75" customHeight="1">
      <c r="A254" s="429"/>
      <c r="B254" s="428" t="s">
        <v>873</v>
      </c>
      <c r="C254" s="429"/>
      <c r="D254" s="429"/>
      <c r="E254" s="429"/>
      <c r="F254" s="429"/>
      <c r="G254" s="429"/>
      <c r="I254" s="444"/>
    </row>
    <row r="255" spans="1:9" ht="18.75" customHeight="1">
      <c r="A255" s="429">
        <v>1</v>
      </c>
      <c r="B255" s="472" t="s">
        <v>875</v>
      </c>
      <c r="C255" s="433">
        <v>20648</v>
      </c>
      <c r="D255" s="434">
        <v>90500</v>
      </c>
      <c r="E255" s="429">
        <v>1</v>
      </c>
      <c r="F255" s="429" t="s">
        <v>876</v>
      </c>
      <c r="G255" s="429" t="s">
        <v>527</v>
      </c>
      <c r="H255" s="429" t="s">
        <v>874</v>
      </c>
      <c r="I255" s="444"/>
    </row>
    <row r="256" spans="1:9" ht="18.75" customHeight="1">
      <c r="A256" s="429">
        <v>2</v>
      </c>
      <c r="B256" s="472" t="s">
        <v>879</v>
      </c>
      <c r="C256" s="433"/>
      <c r="D256" s="445">
        <v>98500</v>
      </c>
      <c r="E256" s="429"/>
      <c r="F256" s="429"/>
      <c r="G256" s="429"/>
      <c r="H256" s="429"/>
      <c r="I256" s="429"/>
    </row>
    <row r="257" spans="1:9" ht="18.75" customHeight="1">
      <c r="A257" s="429">
        <v>3</v>
      </c>
      <c r="B257" s="472" t="s">
        <v>879</v>
      </c>
      <c r="C257" s="433">
        <v>21388</v>
      </c>
      <c r="D257" s="445">
        <v>98500</v>
      </c>
      <c r="E257" s="429">
        <v>1</v>
      </c>
      <c r="F257" s="429" t="s">
        <v>719</v>
      </c>
      <c r="G257" s="429" t="s">
        <v>527</v>
      </c>
      <c r="H257" s="429" t="s">
        <v>880</v>
      </c>
      <c r="I257" s="429"/>
    </row>
    <row r="258" spans="1:9" ht="18.75" customHeight="1">
      <c r="A258" s="428"/>
      <c r="B258" s="578"/>
      <c r="C258" s="578"/>
      <c r="D258" s="432">
        <f>SUM(D255:D257)</f>
        <v>287500</v>
      </c>
      <c r="E258" s="429"/>
      <c r="F258" s="429"/>
      <c r="G258" s="429"/>
      <c r="H258" s="429"/>
      <c r="I258" s="444"/>
    </row>
    <row r="259" spans="1:9" ht="18.75" customHeight="1">
      <c r="A259" s="436"/>
      <c r="B259" s="575" t="s">
        <v>881</v>
      </c>
      <c r="C259" s="576"/>
      <c r="D259" s="435">
        <f>+D258+D227+D156+D215+D205+D168+D173+D187+D201+D252+D144+D219</f>
        <v>13850684</v>
      </c>
      <c r="E259" s="429"/>
      <c r="F259" s="429"/>
      <c r="G259" s="429"/>
      <c r="H259" s="429"/>
      <c r="I259" s="444"/>
    </row>
    <row r="260" spans="1:9" ht="18.75" customHeight="1">
      <c r="A260" s="577" t="s">
        <v>121</v>
      </c>
      <c r="B260" s="575"/>
      <c r="C260" s="576"/>
      <c r="D260" s="477">
        <f>+D259+D32</f>
        <v>19966178</v>
      </c>
      <c r="E260" s="429"/>
      <c r="F260" s="429"/>
      <c r="G260" s="429"/>
      <c r="H260" s="429"/>
      <c r="I260" s="444"/>
    </row>
    <row r="261" spans="4:6" ht="18.75" customHeight="1">
      <c r="D261" s="479"/>
      <c r="F261" s="480"/>
    </row>
    <row r="262" spans="4:5" ht="18.75" customHeight="1">
      <c r="D262" s="479"/>
      <c r="E262" s="480"/>
    </row>
    <row r="263" spans="3:4" ht="18.75" customHeight="1">
      <c r="C263" s="480"/>
      <c r="D263" s="480"/>
    </row>
  </sheetData>
  <sheetProtection/>
  <mergeCells count="24">
    <mergeCell ref="A1:I1"/>
    <mergeCell ref="B6:C6"/>
    <mergeCell ref="B9:C9"/>
    <mergeCell ref="B14:C14"/>
    <mergeCell ref="B17:C17"/>
    <mergeCell ref="B23:C23"/>
    <mergeCell ref="B27:C27"/>
    <mergeCell ref="B31:C31"/>
    <mergeCell ref="B32:C32"/>
    <mergeCell ref="B252:C252"/>
    <mergeCell ref="B201:C201"/>
    <mergeCell ref="B187:C187"/>
    <mergeCell ref="B173:C173"/>
    <mergeCell ref="B219:C219"/>
    <mergeCell ref="B168:C168"/>
    <mergeCell ref="B205:C205"/>
    <mergeCell ref="B259:C259"/>
    <mergeCell ref="A260:C260"/>
    <mergeCell ref="B215:C215"/>
    <mergeCell ref="B156:C156"/>
    <mergeCell ref="F220:G220"/>
    <mergeCell ref="B227:C227"/>
    <mergeCell ref="E227:F227"/>
    <mergeCell ref="B258:C258"/>
  </mergeCells>
  <printOptions/>
  <pageMargins left="0.61" right="0.2362204724409449" top="0.32" bottom="0.15748031496062992" header="0.11811023622047245" footer="0.1574803149606299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99"/>
  </sheetPr>
  <dimension ref="A1:L30"/>
  <sheetViews>
    <sheetView showGridLines="0" zoomScalePageLayoutView="0" workbookViewId="0" topLeftCell="A1">
      <selection activeCell="F30" sqref="F30"/>
    </sheetView>
  </sheetViews>
  <sheetFormatPr defaultColWidth="9.140625" defaultRowHeight="21.75"/>
  <cols>
    <col min="1" max="1" width="34.7109375" style="303" customWidth="1"/>
    <col min="2" max="3" width="15.421875" style="534" customWidth="1"/>
    <col min="4" max="4" width="15.421875" style="534" hidden="1" customWidth="1"/>
    <col min="5" max="6" width="15.421875" style="534" customWidth="1"/>
    <col min="7" max="7" width="11.00390625" style="303" bestFit="1" customWidth="1"/>
    <col min="8" max="8" width="11.57421875" style="303" customWidth="1"/>
    <col min="9" max="9" width="9.140625" style="303" customWidth="1"/>
    <col min="10" max="10" width="10.00390625" style="303" bestFit="1" customWidth="1"/>
    <col min="11" max="11" width="12.140625" style="303" customWidth="1"/>
    <col min="12" max="16384" width="9.140625" style="303" customWidth="1"/>
  </cols>
  <sheetData>
    <row r="1" spans="1:12" s="317" customFormat="1" ht="21">
      <c r="A1" s="570" t="s">
        <v>0</v>
      </c>
      <c r="B1" s="570"/>
      <c r="C1" s="570"/>
      <c r="D1" s="570"/>
      <c r="E1" s="570"/>
      <c r="F1" s="570"/>
      <c r="I1" s="1"/>
      <c r="J1" s="1"/>
      <c r="K1" s="1"/>
      <c r="L1" s="1"/>
    </row>
    <row r="2" spans="1:6" ht="21">
      <c r="A2" s="583" t="s">
        <v>963</v>
      </c>
      <c r="B2" s="584"/>
      <c r="C2" s="584"/>
      <c r="D2" s="584"/>
      <c r="E2" s="584"/>
      <c r="F2" s="584"/>
    </row>
    <row r="3" spans="1:12" s="317" customFormat="1" ht="21">
      <c r="A3" s="570" t="str">
        <f>+'หมายเหตุ 1'!A3:H3</f>
        <v>สำหรับปี สิ้นสุดวันที่ 30 กันยายน 2558</v>
      </c>
      <c r="B3" s="570"/>
      <c r="C3" s="570"/>
      <c r="D3" s="570"/>
      <c r="E3" s="570"/>
      <c r="F3" s="570"/>
      <c r="I3" s="1"/>
      <c r="J3" s="1"/>
      <c r="K3" s="1"/>
      <c r="L3" s="1"/>
    </row>
    <row r="4" spans="1:6" ht="10.5" customHeight="1">
      <c r="A4" s="535"/>
      <c r="B4" s="536"/>
      <c r="C4" s="536"/>
      <c r="D4" s="536"/>
      <c r="E4" s="536"/>
      <c r="F4" s="536"/>
    </row>
    <row r="5" spans="1:6" ht="21">
      <c r="A5" s="527" t="s">
        <v>313</v>
      </c>
      <c r="B5" s="528" t="s">
        <v>96</v>
      </c>
      <c r="C5" s="528" t="s">
        <v>882</v>
      </c>
      <c r="D5" s="528"/>
      <c r="E5" s="528" t="s">
        <v>964</v>
      </c>
      <c r="F5" s="528" t="s">
        <v>94</v>
      </c>
    </row>
    <row r="6" spans="1:6" ht="21">
      <c r="A6" s="527" t="s">
        <v>487</v>
      </c>
      <c r="B6" s="529"/>
      <c r="C6" s="529"/>
      <c r="D6" s="529"/>
      <c r="E6" s="529"/>
      <c r="F6" s="529"/>
    </row>
    <row r="7" spans="1:6" ht="21">
      <c r="A7" s="469" t="s">
        <v>317</v>
      </c>
      <c r="B7" s="529">
        <v>140000</v>
      </c>
      <c r="C7" s="529"/>
      <c r="D7" s="529"/>
      <c r="E7" s="529"/>
      <c r="F7" s="529">
        <f>+B7</f>
        <v>140000</v>
      </c>
    </row>
    <row r="8" spans="1:6" ht="21">
      <c r="A8" s="469" t="s">
        <v>318</v>
      </c>
      <c r="B8" s="529">
        <v>337000</v>
      </c>
      <c r="C8" s="529"/>
      <c r="D8" s="529"/>
      <c r="E8" s="529"/>
      <c r="F8" s="529">
        <f aca="true" t="shared" si="0" ref="F8:F13">+B8</f>
        <v>337000</v>
      </c>
    </row>
    <row r="9" spans="1:6" ht="21">
      <c r="A9" s="469" t="s">
        <v>320</v>
      </c>
      <c r="B9" s="529">
        <v>837500</v>
      </c>
      <c r="C9" s="529">
        <v>1522000</v>
      </c>
      <c r="D9" s="529"/>
      <c r="E9" s="529"/>
      <c r="F9" s="529">
        <f>+B9+C9</f>
        <v>2359500</v>
      </c>
    </row>
    <row r="10" spans="1:6" ht="21">
      <c r="A10" s="469" t="s">
        <v>321</v>
      </c>
      <c r="B10" s="529">
        <v>338000</v>
      </c>
      <c r="C10" s="529"/>
      <c r="D10" s="529"/>
      <c r="E10" s="529"/>
      <c r="F10" s="529">
        <f t="shared" si="0"/>
        <v>338000</v>
      </c>
    </row>
    <row r="11" spans="1:6" ht="21">
      <c r="A11" s="469" t="s">
        <v>322</v>
      </c>
      <c r="B11" s="529">
        <v>2373994</v>
      </c>
      <c r="C11" s="529"/>
      <c r="D11" s="529"/>
      <c r="E11" s="529"/>
      <c r="F11" s="529">
        <f t="shared" si="0"/>
        <v>2373994</v>
      </c>
    </row>
    <row r="12" spans="1:6" ht="21">
      <c r="A12" s="469" t="s">
        <v>959</v>
      </c>
      <c r="B12" s="529">
        <v>417500</v>
      </c>
      <c r="C12" s="529"/>
      <c r="D12" s="529"/>
      <c r="E12" s="529"/>
      <c r="F12" s="529">
        <f t="shared" si="0"/>
        <v>417500</v>
      </c>
    </row>
    <row r="13" spans="1:6" ht="21">
      <c r="A13" s="469" t="s">
        <v>324</v>
      </c>
      <c r="B13" s="529">
        <v>149500</v>
      </c>
      <c r="C13" s="529"/>
      <c r="D13" s="529"/>
      <c r="E13" s="529"/>
      <c r="F13" s="529">
        <f t="shared" si="0"/>
        <v>149500</v>
      </c>
    </row>
    <row r="14" spans="1:7" ht="21">
      <c r="A14" s="530" t="s">
        <v>529</v>
      </c>
      <c r="B14" s="528">
        <f>SUM(B7:B13)</f>
        <v>4593494</v>
      </c>
      <c r="C14" s="528">
        <f>SUM(C7:C13)</f>
        <v>1522000</v>
      </c>
      <c r="D14" s="529"/>
      <c r="E14" s="529"/>
      <c r="F14" s="528">
        <f>+B14+C14</f>
        <v>6115494</v>
      </c>
      <c r="G14" s="531"/>
    </row>
    <row r="15" spans="1:6" ht="21">
      <c r="A15" s="469"/>
      <c r="B15" s="529"/>
      <c r="C15" s="529"/>
      <c r="D15" s="529"/>
      <c r="E15" s="529"/>
      <c r="F15" s="529"/>
    </row>
    <row r="16" spans="1:6" ht="21">
      <c r="A16" s="527" t="s">
        <v>530</v>
      </c>
      <c r="B16" s="529"/>
      <c r="C16" s="529"/>
      <c r="D16" s="529"/>
      <c r="E16" s="529"/>
      <c r="F16" s="529"/>
    </row>
    <row r="17" spans="1:7" ht="21">
      <c r="A17" s="469" t="s">
        <v>326</v>
      </c>
      <c r="B17" s="529">
        <f>1562217-300</f>
        <v>1561917</v>
      </c>
      <c r="C17" s="532">
        <v>47730</v>
      </c>
      <c r="D17" s="529">
        <f>B17+C17</f>
        <v>1609647</v>
      </c>
      <c r="E17" s="529">
        <v>64113</v>
      </c>
      <c r="F17" s="529">
        <f>D17-E17</f>
        <v>1545534</v>
      </c>
      <c r="G17" s="531"/>
    </row>
    <row r="18" spans="1:6" ht="21">
      <c r="A18" s="469" t="s">
        <v>327</v>
      </c>
      <c r="B18" s="529">
        <v>9128200</v>
      </c>
      <c r="C18" s="529"/>
      <c r="D18" s="529">
        <f aca="true" t="shared" si="1" ref="D18:D28">B18+C18</f>
        <v>9128200</v>
      </c>
      <c r="E18" s="529"/>
      <c r="F18" s="529">
        <f aca="true" t="shared" si="2" ref="F18:F29">D18-E18</f>
        <v>9128200</v>
      </c>
    </row>
    <row r="19" spans="1:6" ht="21">
      <c r="A19" s="469" t="s">
        <v>328</v>
      </c>
      <c r="B19" s="529">
        <v>464900</v>
      </c>
      <c r="C19" s="529">
        <v>108100</v>
      </c>
      <c r="D19" s="529">
        <f t="shared" si="1"/>
        <v>573000</v>
      </c>
      <c r="E19" s="529">
        <v>182000</v>
      </c>
      <c r="F19" s="529">
        <f t="shared" si="2"/>
        <v>391000</v>
      </c>
    </row>
    <row r="20" spans="1:6" ht="21">
      <c r="A20" s="469" t="s">
        <v>888</v>
      </c>
      <c r="B20" s="529">
        <v>12000</v>
      </c>
      <c r="C20" s="529">
        <v>18500</v>
      </c>
      <c r="D20" s="529">
        <f>B20+C20</f>
        <v>30500</v>
      </c>
      <c r="E20" s="529"/>
      <c r="F20" s="529">
        <f>D20-E20</f>
        <v>30500</v>
      </c>
    </row>
    <row r="21" spans="1:6" ht="21">
      <c r="A21" s="469" t="s">
        <v>889</v>
      </c>
      <c r="B21" s="529">
        <v>65329</v>
      </c>
      <c r="C21" s="529"/>
      <c r="D21" s="529">
        <f t="shared" si="1"/>
        <v>65329</v>
      </c>
      <c r="E21" s="529"/>
      <c r="F21" s="529">
        <f t="shared" si="2"/>
        <v>65329</v>
      </c>
    </row>
    <row r="22" spans="1:6" ht="21">
      <c r="A22" s="469" t="s">
        <v>960</v>
      </c>
      <c r="B22" s="529">
        <v>462100</v>
      </c>
      <c r="C22" s="529">
        <v>898000</v>
      </c>
      <c r="D22" s="529">
        <f t="shared" si="1"/>
        <v>1360100</v>
      </c>
      <c r="E22" s="529"/>
      <c r="F22" s="529">
        <f t="shared" si="2"/>
        <v>1360100</v>
      </c>
    </row>
    <row r="23" spans="1:6" ht="21">
      <c r="A23" s="469" t="s">
        <v>891</v>
      </c>
      <c r="B23" s="529">
        <v>153000</v>
      </c>
      <c r="C23" s="529"/>
      <c r="D23" s="529">
        <f>B23+C23</f>
        <v>153000</v>
      </c>
      <c r="E23" s="529"/>
      <c r="F23" s="529">
        <f>D23-E23</f>
        <v>153000</v>
      </c>
    </row>
    <row r="24" spans="1:6" ht="21">
      <c r="A24" s="469" t="s">
        <v>892</v>
      </c>
      <c r="B24" s="529">
        <v>115041</v>
      </c>
      <c r="C24" s="529"/>
      <c r="D24" s="529">
        <f t="shared" si="1"/>
        <v>115041</v>
      </c>
      <c r="E24" s="529"/>
      <c r="F24" s="529">
        <f t="shared" si="2"/>
        <v>115041</v>
      </c>
    </row>
    <row r="25" spans="1:6" ht="21">
      <c r="A25" s="469" t="s">
        <v>961</v>
      </c>
      <c r="B25" s="529">
        <v>12500</v>
      </c>
      <c r="C25" s="529">
        <v>5000</v>
      </c>
      <c r="D25" s="529">
        <f>B25+C25</f>
        <v>17500</v>
      </c>
      <c r="E25" s="529"/>
      <c r="F25" s="529">
        <f>D25-E25</f>
        <v>17500</v>
      </c>
    </row>
    <row r="26" spans="1:6" ht="21">
      <c r="A26" s="469" t="s">
        <v>893</v>
      </c>
      <c r="B26" s="529">
        <v>72900</v>
      </c>
      <c r="C26" s="529"/>
      <c r="D26" s="529">
        <f t="shared" si="1"/>
        <v>72900</v>
      </c>
      <c r="E26" s="529"/>
      <c r="F26" s="529">
        <f t="shared" si="2"/>
        <v>72900</v>
      </c>
    </row>
    <row r="27" spans="1:6" ht="21">
      <c r="A27" s="469" t="s">
        <v>894</v>
      </c>
      <c r="B27" s="529">
        <v>681590</v>
      </c>
      <c r="C27" s="529">
        <v>2490</v>
      </c>
      <c r="D27" s="529">
        <f>B27+C27</f>
        <v>684080</v>
      </c>
      <c r="E27" s="529"/>
      <c r="F27" s="529">
        <f t="shared" si="2"/>
        <v>684080</v>
      </c>
    </row>
    <row r="28" spans="1:6" ht="21">
      <c r="A28" s="469" t="s">
        <v>962</v>
      </c>
      <c r="B28" s="529">
        <v>189000</v>
      </c>
      <c r="C28" s="529">
        <v>98500</v>
      </c>
      <c r="D28" s="529">
        <f t="shared" si="1"/>
        <v>287500</v>
      </c>
      <c r="E28" s="529"/>
      <c r="F28" s="529">
        <f t="shared" si="2"/>
        <v>287500</v>
      </c>
    </row>
    <row r="29" spans="1:6" ht="21">
      <c r="A29" s="530" t="s">
        <v>881</v>
      </c>
      <c r="B29" s="528">
        <f>SUM(B17:B28)</f>
        <v>12918477</v>
      </c>
      <c r="C29" s="528">
        <f>SUM(C17:C28)</f>
        <v>1178320</v>
      </c>
      <c r="D29" s="528">
        <f>SUM(D17:D28)</f>
        <v>14096797</v>
      </c>
      <c r="E29" s="528">
        <f>SUM(E17:E28)</f>
        <v>246113</v>
      </c>
      <c r="F29" s="529">
        <f t="shared" si="2"/>
        <v>13850684</v>
      </c>
    </row>
    <row r="30" spans="1:7" s="371" customFormat="1" ht="21">
      <c r="A30" s="530" t="s">
        <v>121</v>
      </c>
      <c r="B30" s="528">
        <f>+B29+B14</f>
        <v>17511971</v>
      </c>
      <c r="C30" s="528">
        <f>+C29+C14</f>
        <v>2700320</v>
      </c>
      <c r="D30" s="528">
        <f>B30+C30</f>
        <v>20212291</v>
      </c>
      <c r="E30" s="528">
        <f>+E29+E14</f>
        <v>246113</v>
      </c>
      <c r="F30" s="528">
        <f>+F29+F14</f>
        <v>19966178</v>
      </c>
      <c r="G30" s="533"/>
    </row>
  </sheetData>
  <sheetProtection/>
  <mergeCells count="3">
    <mergeCell ref="A2:F2"/>
    <mergeCell ref="A1:F1"/>
    <mergeCell ref="A3:F3"/>
  </mergeCells>
  <printOptions/>
  <pageMargins left="0.9055118110236221" right="0.2362204724409449" top="0.7480314960629921" bottom="0.7480314960629921" header="0.31496062992125984" footer="0.31496062992125984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49"/>
  <sheetViews>
    <sheetView zoomScalePageLayoutView="0" workbookViewId="0" topLeftCell="A1">
      <selection activeCell="O18" sqref="O18"/>
    </sheetView>
  </sheetViews>
  <sheetFormatPr defaultColWidth="9.140625" defaultRowHeight="21.75"/>
  <cols>
    <col min="1" max="1" width="14.28125" style="8" customWidth="1"/>
    <col min="2" max="2" width="5.140625" style="1" customWidth="1"/>
    <col min="3" max="3" width="4.7109375" style="1" customWidth="1"/>
    <col min="4" max="5" width="15.7109375" style="1" customWidth="1"/>
    <col min="6" max="6" width="15.7109375" style="10" customWidth="1"/>
    <col min="7" max="7" width="15.28125" style="10" customWidth="1"/>
    <col min="8" max="8" width="15.28125" style="1" bestFit="1" customWidth="1"/>
    <col min="9" max="9" width="13.421875" style="8" bestFit="1" customWidth="1"/>
    <col min="10" max="16384" width="9.140625" style="8" customWidth="1"/>
  </cols>
  <sheetData>
    <row r="1" spans="1:9" ht="21">
      <c r="A1" s="556" t="s">
        <v>0</v>
      </c>
      <c r="B1" s="556"/>
      <c r="C1" s="556"/>
      <c r="D1" s="556"/>
      <c r="E1" s="556"/>
      <c r="F1" s="556"/>
      <c r="G1" s="556"/>
      <c r="H1" s="556"/>
      <c r="I1" s="1"/>
    </row>
    <row r="2" spans="1:9" ht="21">
      <c r="A2" s="557" t="s">
        <v>305</v>
      </c>
      <c r="B2" s="557"/>
      <c r="C2" s="557"/>
      <c r="D2" s="557"/>
      <c r="E2" s="557"/>
      <c r="F2" s="557"/>
      <c r="G2" s="557"/>
      <c r="H2" s="557"/>
      <c r="I2" s="1"/>
    </row>
    <row r="3" spans="1:9" ht="21">
      <c r="A3" s="558" t="s">
        <v>306</v>
      </c>
      <c r="B3" s="558"/>
      <c r="C3" s="558"/>
      <c r="D3" s="558"/>
      <c r="E3" s="558"/>
      <c r="F3" s="558"/>
      <c r="G3" s="558"/>
      <c r="H3" s="558"/>
      <c r="I3" s="1"/>
    </row>
    <row r="4" spans="1:9" ht="10.5" customHeight="1">
      <c r="A4" s="257"/>
      <c r="B4" s="257"/>
      <c r="C4" s="257"/>
      <c r="D4" s="257"/>
      <c r="E4" s="257"/>
      <c r="F4" s="257"/>
      <c r="G4" s="73"/>
      <c r="H4" s="73"/>
      <c r="I4" s="1"/>
    </row>
    <row r="5" spans="1:6" ht="21">
      <c r="A5" s="200" t="s">
        <v>333</v>
      </c>
      <c r="B5" s="2"/>
      <c r="C5" s="2"/>
      <c r="D5" s="2"/>
      <c r="F5" s="9"/>
    </row>
    <row r="6" spans="1:9" s="10" customFormat="1" ht="21">
      <c r="A6" s="201"/>
      <c r="B6" s="74" t="s">
        <v>334</v>
      </c>
      <c r="C6" s="1"/>
      <c r="D6" s="1"/>
      <c r="E6" s="1"/>
      <c r="H6" s="1">
        <f>+งบทดลองหลังปิด!E7</f>
        <v>8013185.72</v>
      </c>
      <c r="I6" s="8"/>
    </row>
    <row r="7" spans="1:9" s="10" customFormat="1" ht="21">
      <c r="A7" s="201"/>
      <c r="B7" s="74" t="s">
        <v>335</v>
      </c>
      <c r="C7" s="1"/>
      <c r="D7" s="1"/>
      <c r="E7" s="1"/>
      <c r="H7" s="1">
        <f>+งบทดลองหลังปิด!E8</f>
        <v>3.71</v>
      </c>
      <c r="I7" s="8"/>
    </row>
    <row r="8" spans="1:9" s="10" customFormat="1" ht="21">
      <c r="A8" s="201"/>
      <c r="B8" s="74"/>
      <c r="C8" s="1" t="s">
        <v>336</v>
      </c>
      <c r="D8" s="1"/>
      <c r="E8" s="1"/>
      <c r="H8" s="1"/>
      <c r="I8" s="8"/>
    </row>
    <row r="9" spans="1:8" ht="21">
      <c r="A9" s="201"/>
      <c r="B9" s="74" t="s">
        <v>337</v>
      </c>
      <c r="H9" s="1">
        <f>+งบทดลองหลังปิด!E9</f>
        <v>26244489.66</v>
      </c>
    </row>
    <row r="10" spans="1:9" s="1" customFormat="1" ht="21">
      <c r="A10" s="201"/>
      <c r="B10" s="74" t="s">
        <v>338</v>
      </c>
      <c r="F10" s="10"/>
      <c r="G10" s="10"/>
      <c r="H10" s="1">
        <f>+งบทดลองหลังปิด!E10</f>
        <v>1202745.29</v>
      </c>
      <c r="I10" s="8"/>
    </row>
    <row r="11" spans="1:9" s="1" customFormat="1" ht="21">
      <c r="A11" s="201"/>
      <c r="B11" s="1" t="s">
        <v>339</v>
      </c>
      <c r="F11" s="10"/>
      <c r="G11" s="10"/>
      <c r="H11" s="1">
        <f>+งบทดลองหลังปิด!E11</f>
        <v>3358853.16</v>
      </c>
      <c r="I11" s="8"/>
    </row>
    <row r="12" spans="1:9" s="1" customFormat="1" ht="21">
      <c r="A12" s="201"/>
      <c r="B12" s="1" t="s">
        <v>340</v>
      </c>
      <c r="F12" s="10"/>
      <c r="G12" s="10"/>
      <c r="H12" s="1">
        <f>+งบทดลองหลังปิด!E12</f>
        <v>5516804.17</v>
      </c>
      <c r="I12" s="8"/>
    </row>
    <row r="13" spans="2:8" ht="21.75" thickBot="1">
      <c r="B13" s="1" t="s">
        <v>33</v>
      </c>
      <c r="H13" s="340">
        <f>SUM(H6:H12)</f>
        <v>44336081.71000001</v>
      </c>
    </row>
    <row r="14" ht="17.25" customHeight="1" thickTop="1"/>
    <row r="15" ht="21">
      <c r="A15" s="200" t="s">
        <v>341</v>
      </c>
    </row>
    <row r="16" spans="2:8" ht="21">
      <c r="B16" s="1" t="s">
        <v>136</v>
      </c>
      <c r="H16" s="1">
        <v>32700</v>
      </c>
    </row>
    <row r="17" spans="2:8" ht="21">
      <c r="B17" s="1" t="s">
        <v>137</v>
      </c>
      <c r="H17" s="1">
        <v>545</v>
      </c>
    </row>
    <row r="18" spans="2:8" ht="21">
      <c r="B18" s="1" t="s">
        <v>161</v>
      </c>
      <c r="H18" s="1">
        <v>898000</v>
      </c>
    </row>
    <row r="19" spans="2:8" ht="21.75" thickBot="1">
      <c r="B19" s="1" t="s">
        <v>33</v>
      </c>
      <c r="H19" s="340">
        <f>SUM(H16:H18)</f>
        <v>931245</v>
      </c>
    </row>
    <row r="20" ht="16.5" customHeight="1" thickTop="1"/>
    <row r="21" ht="21">
      <c r="A21" s="200" t="s">
        <v>342</v>
      </c>
    </row>
    <row r="22" ht="11.25" customHeight="1"/>
    <row r="23" spans="2:8" ht="23.25" customHeight="1">
      <c r="B23" s="586" t="s">
        <v>343</v>
      </c>
      <c r="C23" s="586"/>
      <c r="D23" s="586"/>
      <c r="E23" s="586"/>
      <c r="F23" s="364" t="s">
        <v>344</v>
      </c>
      <c r="G23" s="369" t="s">
        <v>345</v>
      </c>
      <c r="H23" s="364" t="s">
        <v>1</v>
      </c>
    </row>
    <row r="24" spans="2:8" ht="21">
      <c r="B24" s="405" t="s">
        <v>152</v>
      </c>
      <c r="C24" s="406"/>
      <c r="D24" s="406"/>
      <c r="E24" s="407"/>
      <c r="F24" s="365">
        <v>2555</v>
      </c>
      <c r="G24" s="404">
        <v>1</v>
      </c>
      <c r="H24" s="403">
        <v>6480</v>
      </c>
    </row>
    <row r="25" spans="2:8" ht="21">
      <c r="B25" s="408"/>
      <c r="C25" s="409"/>
      <c r="D25" s="409"/>
      <c r="E25" s="410"/>
      <c r="F25" s="365">
        <v>2556</v>
      </c>
      <c r="G25" s="404">
        <v>4</v>
      </c>
      <c r="H25" s="403">
        <v>12780</v>
      </c>
    </row>
    <row r="26" spans="2:8" ht="21">
      <c r="B26" s="408"/>
      <c r="C26" s="409"/>
      <c r="D26" s="409"/>
      <c r="E26" s="410"/>
      <c r="F26" s="365">
        <v>2557</v>
      </c>
      <c r="G26" s="404">
        <v>3</v>
      </c>
      <c r="H26" s="403">
        <v>11280</v>
      </c>
    </row>
    <row r="27" spans="2:8" ht="21">
      <c r="B27" s="411"/>
      <c r="C27" s="412"/>
      <c r="D27" s="412"/>
      <c r="E27" s="413"/>
      <c r="F27" s="365">
        <v>2558</v>
      </c>
      <c r="G27" s="404">
        <v>2</v>
      </c>
      <c r="H27" s="403">
        <v>10980</v>
      </c>
    </row>
    <row r="28" spans="2:8" s="345" customFormat="1" ht="21">
      <c r="B28" s="585" t="s">
        <v>33</v>
      </c>
      <c r="C28" s="585"/>
      <c r="D28" s="585"/>
      <c r="E28" s="585"/>
      <c r="F28" s="585"/>
      <c r="G28" s="414">
        <f>SUM(G24:G27)</f>
        <v>10</v>
      </c>
      <c r="H28" s="415">
        <f>SUM(H24:H27)</f>
        <v>41520</v>
      </c>
    </row>
    <row r="29" spans="2:8" ht="21">
      <c r="B29" s="405" t="s">
        <v>153</v>
      </c>
      <c r="C29" s="406"/>
      <c r="D29" s="406"/>
      <c r="E29" s="407"/>
      <c r="F29" s="365">
        <v>2549</v>
      </c>
      <c r="G29" s="404">
        <v>25</v>
      </c>
      <c r="H29" s="403">
        <f>684*0.95</f>
        <v>649.8</v>
      </c>
    </row>
    <row r="30" spans="2:8" ht="21">
      <c r="B30" s="408"/>
      <c r="C30" s="409"/>
      <c r="D30" s="409"/>
      <c r="E30" s="410"/>
      <c r="F30" s="365">
        <v>2550</v>
      </c>
      <c r="G30" s="404">
        <v>49</v>
      </c>
      <c r="H30" s="403">
        <f>1305*0.95</f>
        <v>1239.75</v>
      </c>
    </row>
    <row r="31" spans="2:8" ht="21">
      <c r="B31" s="408"/>
      <c r="C31" s="409"/>
      <c r="D31" s="409"/>
      <c r="E31" s="410"/>
      <c r="F31" s="365">
        <v>2551</v>
      </c>
      <c r="G31" s="404">
        <v>60</v>
      </c>
      <c r="H31" s="403">
        <f>1520.4*0.95</f>
        <v>1444.38</v>
      </c>
    </row>
    <row r="32" spans="2:8" ht="21">
      <c r="B32" s="408"/>
      <c r="C32" s="409"/>
      <c r="D32" s="409"/>
      <c r="E32" s="410"/>
      <c r="F32" s="365">
        <v>2552</v>
      </c>
      <c r="G32" s="404">
        <v>75</v>
      </c>
      <c r="H32" s="403">
        <f>1970.5*0.95</f>
        <v>1871.975</v>
      </c>
    </row>
    <row r="33" spans="2:8" ht="21">
      <c r="B33" s="408"/>
      <c r="C33" s="409"/>
      <c r="D33" s="409"/>
      <c r="E33" s="410"/>
      <c r="F33" s="365">
        <v>2553</v>
      </c>
      <c r="G33" s="404">
        <v>63</v>
      </c>
      <c r="H33" s="403">
        <f>1243.3*0.95</f>
        <v>1181.135</v>
      </c>
    </row>
    <row r="34" spans="2:8" ht="21">
      <c r="B34" s="408"/>
      <c r="C34" s="409"/>
      <c r="D34" s="409"/>
      <c r="E34" s="410"/>
      <c r="F34" s="365">
        <v>2554</v>
      </c>
      <c r="G34" s="404">
        <v>91</v>
      </c>
      <c r="H34" s="403">
        <f>1682.6*0.95</f>
        <v>1598.4699999999998</v>
      </c>
    </row>
    <row r="35" spans="2:8" ht="21">
      <c r="B35" s="408"/>
      <c r="C35" s="409"/>
      <c r="D35" s="409"/>
      <c r="E35" s="410"/>
      <c r="F35" s="365">
        <v>2555</v>
      </c>
      <c r="G35" s="404">
        <v>111</v>
      </c>
      <c r="H35" s="403">
        <f>2153.4*0.95</f>
        <v>2045.73</v>
      </c>
    </row>
    <row r="36" spans="2:8" ht="21">
      <c r="B36" s="408"/>
      <c r="C36" s="409"/>
      <c r="D36" s="409"/>
      <c r="E36" s="410"/>
      <c r="F36" s="365">
        <v>2556</v>
      </c>
      <c r="G36" s="404">
        <v>271</v>
      </c>
      <c r="H36" s="403">
        <f>6616.9*0.95</f>
        <v>6286.054999999999</v>
      </c>
    </row>
    <row r="37" spans="2:8" ht="21">
      <c r="B37" s="408"/>
      <c r="C37" s="409"/>
      <c r="D37" s="409"/>
      <c r="E37" s="410"/>
      <c r="F37" s="365">
        <v>2557</v>
      </c>
      <c r="G37" s="404">
        <v>246</v>
      </c>
      <c r="H37" s="403">
        <f>5823.1*0.95</f>
        <v>5531.945</v>
      </c>
    </row>
    <row r="38" spans="2:8" ht="21">
      <c r="B38" s="411"/>
      <c r="C38" s="412"/>
      <c r="D38" s="412"/>
      <c r="E38" s="413"/>
      <c r="F38" s="365">
        <v>2558</v>
      </c>
      <c r="G38" s="404">
        <v>652</v>
      </c>
      <c r="H38" s="403">
        <f>16617.6*0.95</f>
        <v>15786.719999999998</v>
      </c>
    </row>
    <row r="39" spans="2:8" s="345" customFormat="1" ht="21">
      <c r="B39" s="585" t="s">
        <v>33</v>
      </c>
      <c r="C39" s="585"/>
      <c r="D39" s="585"/>
      <c r="E39" s="585"/>
      <c r="F39" s="585"/>
      <c r="G39" s="414">
        <f>SUM(G29:G38)</f>
        <v>1643</v>
      </c>
      <c r="H39" s="415">
        <f>SUM(H29:H38)</f>
        <v>37635.95999999999</v>
      </c>
    </row>
    <row r="40" spans="2:8" s="345" customFormat="1" ht="21">
      <c r="B40" s="585" t="s">
        <v>121</v>
      </c>
      <c r="C40" s="585"/>
      <c r="D40" s="585"/>
      <c r="E40" s="585"/>
      <c r="F40" s="585"/>
      <c r="G40" s="414">
        <f>+G28+G39</f>
        <v>1653</v>
      </c>
      <c r="H40" s="415">
        <f>+H28+H39</f>
        <v>79155.95999999999</v>
      </c>
    </row>
    <row r="41" ht="21">
      <c r="F41" s="341"/>
    </row>
    <row r="42" ht="21">
      <c r="A42" s="200" t="s">
        <v>347</v>
      </c>
    </row>
    <row r="43" spans="2:8" ht="21">
      <c r="B43" s="1" t="s">
        <v>346</v>
      </c>
      <c r="H43" s="1">
        <f>+งบทดลองหลังปิด!E17</f>
        <v>257160</v>
      </c>
    </row>
    <row r="44" spans="2:8" ht="21.75" thickBot="1">
      <c r="B44" s="1" t="s">
        <v>33</v>
      </c>
      <c r="H44" s="340">
        <f>SUM(H43:H43)</f>
        <v>257160</v>
      </c>
    </row>
    <row r="45" ht="21.75" thickTop="1">
      <c r="F45" s="341"/>
    </row>
    <row r="46" ht="21">
      <c r="F46" s="341"/>
    </row>
    <row r="47" ht="21">
      <c r="F47" s="341"/>
    </row>
    <row r="48" ht="21">
      <c r="F48" s="341"/>
    </row>
    <row r="49" ht="21">
      <c r="F49" s="341"/>
    </row>
  </sheetData>
  <sheetProtection/>
  <mergeCells count="7">
    <mergeCell ref="A1:H1"/>
    <mergeCell ref="A2:H2"/>
    <mergeCell ref="A3:H3"/>
    <mergeCell ref="B28:F28"/>
    <mergeCell ref="B39:F39"/>
    <mergeCell ref="B40:F40"/>
    <mergeCell ref="B23:E23"/>
  </mergeCells>
  <printOptions/>
  <pageMargins left="0.88" right="0.15748031496062992" top="0.41" bottom="0" header="0.16" footer="0.19"/>
  <pageSetup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11" sqref="L11"/>
    </sheetView>
  </sheetViews>
  <sheetFormatPr defaultColWidth="9.140625" defaultRowHeight="21.75"/>
  <cols>
    <col min="1" max="1" width="11.7109375" style="8" customWidth="1"/>
    <col min="2" max="2" width="15.57421875" style="1" bestFit="1" customWidth="1"/>
    <col min="3" max="3" width="14.421875" style="1" bestFit="1" customWidth="1"/>
    <col min="4" max="4" width="10.28125" style="1" customWidth="1"/>
    <col min="5" max="5" width="24.57421875" style="1" customWidth="1"/>
    <col min="6" max="6" width="34.8515625" style="10" customWidth="1"/>
    <col min="7" max="7" width="12.57421875" style="10" bestFit="1" customWidth="1"/>
    <col min="8" max="8" width="15.28125" style="1" bestFit="1" customWidth="1"/>
    <col min="9" max="9" width="13.421875" style="8" bestFit="1" customWidth="1"/>
    <col min="10" max="16384" width="9.140625" style="8" customWidth="1"/>
  </cols>
  <sheetData>
    <row r="1" spans="1:9" ht="21">
      <c r="A1" s="556" t="s">
        <v>0</v>
      </c>
      <c r="B1" s="556"/>
      <c r="C1" s="556"/>
      <c r="D1" s="556"/>
      <c r="E1" s="556"/>
      <c r="F1" s="556"/>
      <c r="G1" s="556"/>
      <c r="H1" s="71"/>
      <c r="I1" s="1"/>
    </row>
    <row r="2" spans="1:9" ht="21">
      <c r="A2" s="557" t="s">
        <v>305</v>
      </c>
      <c r="B2" s="557"/>
      <c r="C2" s="557"/>
      <c r="D2" s="557"/>
      <c r="E2" s="557"/>
      <c r="F2" s="557"/>
      <c r="G2" s="557"/>
      <c r="H2" s="72"/>
      <c r="I2" s="1"/>
    </row>
    <row r="3" spans="1:9" ht="21">
      <c r="A3" s="558" t="s">
        <v>306</v>
      </c>
      <c r="B3" s="558"/>
      <c r="C3" s="558"/>
      <c r="D3" s="558"/>
      <c r="E3" s="558"/>
      <c r="F3" s="558"/>
      <c r="G3" s="558"/>
      <c r="H3" s="73"/>
      <c r="I3" s="1"/>
    </row>
    <row r="4" spans="1:9" ht="10.5" customHeight="1">
      <c r="A4" s="257"/>
      <c r="B4" s="257"/>
      <c r="C4" s="257"/>
      <c r="D4" s="257"/>
      <c r="E4" s="257"/>
      <c r="F4" s="257"/>
      <c r="G4" s="73"/>
      <c r="H4" s="73"/>
      <c r="I4" s="1"/>
    </row>
    <row r="5" ht="21">
      <c r="A5" s="200" t="s">
        <v>355</v>
      </c>
    </row>
    <row r="6" ht="10.5" customHeight="1">
      <c r="A6" s="200"/>
    </row>
    <row r="7" spans="1:7" s="421" customFormat="1" ht="25.5" customHeight="1">
      <c r="A7" s="416" t="s">
        <v>348</v>
      </c>
      <c r="B7" s="417" t="s">
        <v>349</v>
      </c>
      <c r="C7" s="418" t="s">
        <v>350</v>
      </c>
      <c r="D7" s="418" t="s">
        <v>351</v>
      </c>
      <c r="E7" s="419" t="s">
        <v>352</v>
      </c>
      <c r="F7" s="420" t="s">
        <v>353</v>
      </c>
      <c r="G7" s="418" t="s">
        <v>1</v>
      </c>
    </row>
    <row r="8" spans="1:7" ht="63">
      <c r="A8" s="366" t="s">
        <v>354</v>
      </c>
      <c r="B8" s="367" t="s">
        <v>222</v>
      </c>
      <c r="C8" s="367" t="s">
        <v>398</v>
      </c>
      <c r="D8" s="367" t="s">
        <v>13</v>
      </c>
      <c r="E8" s="367" t="s">
        <v>400</v>
      </c>
      <c r="F8" s="368" t="s">
        <v>358</v>
      </c>
      <c r="G8" s="367">
        <v>15286.5</v>
      </c>
    </row>
    <row r="9" spans="1:7" ht="63">
      <c r="A9" s="346" t="s">
        <v>354</v>
      </c>
      <c r="B9" s="347" t="s">
        <v>222</v>
      </c>
      <c r="C9" s="347" t="s">
        <v>398</v>
      </c>
      <c r="D9" s="347" t="s">
        <v>13</v>
      </c>
      <c r="E9" s="347" t="s">
        <v>400</v>
      </c>
      <c r="F9" s="348" t="s">
        <v>359</v>
      </c>
      <c r="G9" s="347">
        <v>4200</v>
      </c>
    </row>
    <row r="10" spans="1:9" s="10" customFormat="1" ht="63">
      <c r="A10" s="346" t="s">
        <v>354</v>
      </c>
      <c r="B10" s="347" t="s">
        <v>222</v>
      </c>
      <c r="C10" s="347" t="s">
        <v>398</v>
      </c>
      <c r="D10" s="347" t="s">
        <v>13</v>
      </c>
      <c r="E10" s="347" t="s">
        <v>107</v>
      </c>
      <c r="F10" s="348" t="s">
        <v>360</v>
      </c>
      <c r="G10" s="347">
        <v>7700</v>
      </c>
      <c r="H10" s="1"/>
      <c r="I10" s="8"/>
    </row>
    <row r="11" spans="1:7" ht="63">
      <c r="A11" s="346" t="s">
        <v>354</v>
      </c>
      <c r="B11" s="347" t="s">
        <v>224</v>
      </c>
      <c r="C11" s="347" t="s">
        <v>397</v>
      </c>
      <c r="D11" s="347" t="s">
        <v>13</v>
      </c>
      <c r="E11" s="347" t="s">
        <v>107</v>
      </c>
      <c r="F11" s="348" t="s">
        <v>361</v>
      </c>
      <c r="G11" s="347">
        <v>9000</v>
      </c>
    </row>
    <row r="12" spans="1:7" ht="63">
      <c r="A12" s="346" t="s">
        <v>354</v>
      </c>
      <c r="B12" s="347" t="s">
        <v>224</v>
      </c>
      <c r="C12" s="347" t="s">
        <v>397</v>
      </c>
      <c r="D12" s="347" t="s">
        <v>13</v>
      </c>
      <c r="E12" s="347" t="s">
        <v>107</v>
      </c>
      <c r="F12" s="348" t="s">
        <v>361</v>
      </c>
      <c r="G12" s="347">
        <v>10500</v>
      </c>
    </row>
    <row r="13" spans="1:7" ht="42">
      <c r="A13" s="346" t="s">
        <v>354</v>
      </c>
      <c r="B13" s="347" t="s">
        <v>220</v>
      </c>
      <c r="C13" s="347" t="s">
        <v>388</v>
      </c>
      <c r="D13" s="347" t="s">
        <v>13</v>
      </c>
      <c r="E13" s="347" t="s">
        <v>107</v>
      </c>
      <c r="F13" s="348" t="s">
        <v>362</v>
      </c>
      <c r="G13" s="347">
        <v>7700</v>
      </c>
    </row>
    <row r="14" spans="1:7" ht="42">
      <c r="A14" s="346" t="s">
        <v>354</v>
      </c>
      <c r="B14" s="347" t="s">
        <v>220</v>
      </c>
      <c r="C14" s="347" t="s">
        <v>388</v>
      </c>
      <c r="D14" s="347" t="s">
        <v>13</v>
      </c>
      <c r="E14" s="347" t="s">
        <v>107</v>
      </c>
      <c r="F14" s="348" t="s">
        <v>363</v>
      </c>
      <c r="G14" s="347">
        <v>7700</v>
      </c>
    </row>
    <row r="15" spans="1:7" ht="42">
      <c r="A15" s="346" t="s">
        <v>354</v>
      </c>
      <c r="B15" s="347" t="s">
        <v>220</v>
      </c>
      <c r="C15" s="347" t="s">
        <v>391</v>
      </c>
      <c r="D15" s="347" t="s">
        <v>13</v>
      </c>
      <c r="E15" s="347" t="s">
        <v>107</v>
      </c>
      <c r="F15" s="348" t="s">
        <v>364</v>
      </c>
      <c r="G15" s="347">
        <v>9000</v>
      </c>
    </row>
    <row r="16" spans="1:7" ht="42">
      <c r="A16" s="346" t="s">
        <v>354</v>
      </c>
      <c r="B16" s="347" t="s">
        <v>220</v>
      </c>
      <c r="C16" s="347" t="s">
        <v>391</v>
      </c>
      <c r="D16" s="347" t="s">
        <v>13</v>
      </c>
      <c r="E16" s="347" t="s">
        <v>107</v>
      </c>
      <c r="F16" s="348" t="s">
        <v>365</v>
      </c>
      <c r="G16" s="347">
        <v>8800</v>
      </c>
    </row>
    <row r="17" spans="1:7" ht="63">
      <c r="A17" s="346" t="s">
        <v>354</v>
      </c>
      <c r="B17" s="347" t="s">
        <v>224</v>
      </c>
      <c r="C17" s="347" t="s">
        <v>397</v>
      </c>
      <c r="D17" s="347" t="s">
        <v>13</v>
      </c>
      <c r="E17" s="347"/>
      <c r="F17" s="348" t="s">
        <v>366</v>
      </c>
      <c r="G17" s="347">
        <v>18600</v>
      </c>
    </row>
    <row r="18" spans="1:7" ht="63">
      <c r="A18" s="346" t="s">
        <v>354</v>
      </c>
      <c r="B18" s="347" t="s">
        <v>222</v>
      </c>
      <c r="C18" s="347" t="s">
        <v>398</v>
      </c>
      <c r="D18" s="347" t="s">
        <v>14</v>
      </c>
      <c r="E18" s="347" t="s">
        <v>399</v>
      </c>
      <c r="F18" s="348" t="s">
        <v>367</v>
      </c>
      <c r="G18" s="349">
        <v>679296.64</v>
      </c>
    </row>
    <row r="19" spans="1:7" ht="63">
      <c r="A19" s="346" t="s">
        <v>354</v>
      </c>
      <c r="B19" s="347" t="s">
        <v>222</v>
      </c>
      <c r="C19" s="347" t="s">
        <v>398</v>
      </c>
      <c r="D19" s="347" t="s">
        <v>14</v>
      </c>
      <c r="E19" s="347" t="s">
        <v>399</v>
      </c>
      <c r="F19" s="348" t="s">
        <v>368</v>
      </c>
      <c r="G19" s="349">
        <v>18157.3</v>
      </c>
    </row>
    <row r="20" spans="1:7" ht="21">
      <c r="A20" s="346" t="s">
        <v>354</v>
      </c>
      <c r="B20" s="347" t="s">
        <v>220</v>
      </c>
      <c r="C20" s="347" t="s">
        <v>391</v>
      </c>
      <c r="D20" s="347" t="s">
        <v>14</v>
      </c>
      <c r="E20" s="347" t="s">
        <v>108</v>
      </c>
      <c r="F20" s="348" t="s">
        <v>369</v>
      </c>
      <c r="G20" s="349">
        <v>300</v>
      </c>
    </row>
    <row r="21" spans="1:7" ht="84">
      <c r="A21" s="346" t="s">
        <v>354</v>
      </c>
      <c r="B21" s="347" t="s">
        <v>223</v>
      </c>
      <c r="C21" s="347" t="s">
        <v>402</v>
      </c>
      <c r="D21" s="347" t="s">
        <v>14</v>
      </c>
      <c r="E21" s="347" t="s">
        <v>403</v>
      </c>
      <c r="F21" s="348" t="s">
        <v>370</v>
      </c>
      <c r="G21" s="349">
        <v>179850</v>
      </c>
    </row>
    <row r="22" spans="1:7" ht="56.25">
      <c r="A22" s="346" t="s">
        <v>354</v>
      </c>
      <c r="B22" s="350" t="s">
        <v>224</v>
      </c>
      <c r="C22" s="351" t="s">
        <v>382</v>
      </c>
      <c r="D22" s="347" t="s">
        <v>17</v>
      </c>
      <c r="E22" s="347" t="s">
        <v>404</v>
      </c>
      <c r="F22" s="348" t="s">
        <v>371</v>
      </c>
      <c r="G22" s="352">
        <v>59500</v>
      </c>
    </row>
    <row r="23" spans="1:7" ht="56.25">
      <c r="A23" s="346" t="s">
        <v>354</v>
      </c>
      <c r="B23" s="350" t="s">
        <v>224</v>
      </c>
      <c r="C23" s="351" t="s">
        <v>382</v>
      </c>
      <c r="D23" s="347" t="s">
        <v>17</v>
      </c>
      <c r="E23" s="347" t="s">
        <v>404</v>
      </c>
      <c r="F23" s="348" t="s">
        <v>372</v>
      </c>
      <c r="G23" s="352">
        <v>49500</v>
      </c>
    </row>
    <row r="24" spans="1:7" ht="56.25">
      <c r="A24" s="346" t="s">
        <v>354</v>
      </c>
      <c r="B24" s="350" t="s">
        <v>224</v>
      </c>
      <c r="C24" s="351" t="s">
        <v>382</v>
      </c>
      <c r="D24" s="347" t="s">
        <v>17</v>
      </c>
      <c r="E24" s="347" t="s">
        <v>404</v>
      </c>
      <c r="F24" s="348" t="s">
        <v>405</v>
      </c>
      <c r="G24" s="352">
        <v>12000</v>
      </c>
    </row>
    <row r="25" spans="1:7" ht="63">
      <c r="A25" s="346" t="s">
        <v>406</v>
      </c>
      <c r="B25" s="347" t="s">
        <v>408</v>
      </c>
      <c r="C25" s="347" t="s">
        <v>407</v>
      </c>
      <c r="D25" s="347" t="s">
        <v>17</v>
      </c>
      <c r="E25" s="347" t="s">
        <v>111</v>
      </c>
      <c r="F25" s="348" t="s">
        <v>373</v>
      </c>
      <c r="G25" s="352">
        <v>898000</v>
      </c>
    </row>
    <row r="26" spans="1:7" ht="56.25">
      <c r="A26" s="346" t="s">
        <v>354</v>
      </c>
      <c r="B26" s="350" t="s">
        <v>224</v>
      </c>
      <c r="C26" s="351" t="s">
        <v>382</v>
      </c>
      <c r="D26" s="347" t="s">
        <v>17</v>
      </c>
      <c r="E26" s="347" t="s">
        <v>112</v>
      </c>
      <c r="F26" s="348" t="s">
        <v>374</v>
      </c>
      <c r="G26" s="352">
        <v>25000</v>
      </c>
    </row>
    <row r="27" spans="1:7" ht="56.25">
      <c r="A27" s="346" t="s">
        <v>354</v>
      </c>
      <c r="B27" s="350" t="s">
        <v>224</v>
      </c>
      <c r="C27" s="351" t="s">
        <v>382</v>
      </c>
      <c r="D27" s="347" t="s">
        <v>17</v>
      </c>
      <c r="E27" s="347" t="s">
        <v>113</v>
      </c>
      <c r="F27" s="348" t="s">
        <v>375</v>
      </c>
      <c r="G27" s="352">
        <v>52000</v>
      </c>
    </row>
    <row r="28" spans="1:7" ht="56.25">
      <c r="A28" s="346" t="s">
        <v>354</v>
      </c>
      <c r="B28" s="350" t="s">
        <v>224</v>
      </c>
      <c r="C28" s="351" t="s">
        <v>382</v>
      </c>
      <c r="D28" s="347" t="s">
        <v>17</v>
      </c>
      <c r="E28" s="347" t="s">
        <v>113</v>
      </c>
      <c r="F28" s="348" t="s">
        <v>375</v>
      </c>
      <c r="G28" s="352">
        <v>62000</v>
      </c>
    </row>
    <row r="29" spans="1:7" ht="39">
      <c r="A29" s="346" t="s">
        <v>354</v>
      </c>
      <c r="B29" s="347" t="s">
        <v>220</v>
      </c>
      <c r="C29" s="347" t="s">
        <v>388</v>
      </c>
      <c r="D29" s="347" t="s">
        <v>17</v>
      </c>
      <c r="E29" s="347" t="s">
        <v>112</v>
      </c>
      <c r="F29" s="348" t="s">
        <v>376</v>
      </c>
      <c r="G29" s="352">
        <v>22000</v>
      </c>
    </row>
    <row r="30" spans="1:7" ht="39">
      <c r="A30" s="346" t="s">
        <v>354</v>
      </c>
      <c r="B30" s="347" t="s">
        <v>220</v>
      </c>
      <c r="C30" s="347" t="s">
        <v>388</v>
      </c>
      <c r="D30" s="347" t="s">
        <v>17</v>
      </c>
      <c r="E30" s="347" t="s">
        <v>112</v>
      </c>
      <c r="F30" s="348" t="s">
        <v>377</v>
      </c>
      <c r="G30" s="352">
        <v>25000</v>
      </c>
    </row>
    <row r="31" spans="1:7" ht="21">
      <c r="A31" s="346" t="s">
        <v>354</v>
      </c>
      <c r="B31" s="347" t="s">
        <v>220</v>
      </c>
      <c r="C31" s="347" t="s">
        <v>388</v>
      </c>
      <c r="D31" s="347" t="s">
        <v>17</v>
      </c>
      <c r="E31" s="347" t="s">
        <v>112</v>
      </c>
      <c r="F31" s="348" t="s">
        <v>378</v>
      </c>
      <c r="G31" s="352">
        <v>1700</v>
      </c>
    </row>
    <row r="32" spans="1:7" ht="63">
      <c r="A32" s="346" t="s">
        <v>354</v>
      </c>
      <c r="B32" s="347" t="s">
        <v>409</v>
      </c>
      <c r="C32" s="347" t="s">
        <v>410</v>
      </c>
      <c r="D32" s="347" t="s">
        <v>18</v>
      </c>
      <c r="E32" s="347" t="s">
        <v>411</v>
      </c>
      <c r="F32" s="348" t="s">
        <v>379</v>
      </c>
      <c r="G32" s="349">
        <v>855000</v>
      </c>
    </row>
    <row r="33" spans="1:7" ht="63">
      <c r="A33" s="346" t="s">
        <v>354</v>
      </c>
      <c r="B33" s="347" t="s">
        <v>409</v>
      </c>
      <c r="C33" s="347" t="s">
        <v>410</v>
      </c>
      <c r="D33" s="347" t="s">
        <v>18</v>
      </c>
      <c r="E33" s="347" t="s">
        <v>411</v>
      </c>
      <c r="F33" s="348" t="s">
        <v>380</v>
      </c>
      <c r="G33" s="349">
        <v>222200</v>
      </c>
    </row>
    <row r="34" spans="1:7" ht="63">
      <c r="A34" s="353" t="s">
        <v>354</v>
      </c>
      <c r="B34" s="354" t="s">
        <v>409</v>
      </c>
      <c r="C34" s="354" t="s">
        <v>410</v>
      </c>
      <c r="D34" s="354" t="s">
        <v>18</v>
      </c>
      <c r="E34" s="354" t="s">
        <v>411</v>
      </c>
      <c r="F34" s="355" t="s">
        <v>401</v>
      </c>
      <c r="G34" s="356">
        <v>768000</v>
      </c>
    </row>
    <row r="35" spans="1:7" ht="21">
      <c r="A35" s="587" t="s">
        <v>33</v>
      </c>
      <c r="B35" s="587"/>
      <c r="C35" s="587"/>
      <c r="D35" s="587"/>
      <c r="E35" s="587"/>
      <c r="F35" s="587"/>
      <c r="G35" s="357">
        <f>SUM(G8:G34)</f>
        <v>4027990.44</v>
      </c>
    </row>
  </sheetData>
  <sheetProtection/>
  <mergeCells count="4">
    <mergeCell ref="A35:F35"/>
    <mergeCell ref="A1:G1"/>
    <mergeCell ref="A2:G2"/>
    <mergeCell ref="A3:G3"/>
  </mergeCells>
  <printOptions/>
  <pageMargins left="0.42" right="0.15748031496062992" top="0.44" bottom="0" header="0.15748031496062992" footer="0.1968503937007874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zoomScalePageLayoutView="0" workbookViewId="0" topLeftCell="A1">
      <selection activeCell="K9" sqref="K9"/>
    </sheetView>
  </sheetViews>
  <sheetFormatPr defaultColWidth="9.140625" defaultRowHeight="21.75"/>
  <cols>
    <col min="1" max="1" width="10.8515625" style="8" customWidth="1"/>
    <col min="2" max="2" width="15.57421875" style="1" bestFit="1" customWidth="1"/>
    <col min="3" max="3" width="28.00390625" style="1" bestFit="1" customWidth="1"/>
    <col min="4" max="4" width="11.28125" style="1" customWidth="1"/>
    <col min="5" max="5" width="21.421875" style="1" customWidth="1"/>
    <col min="6" max="6" width="15.421875" style="10" customWidth="1"/>
    <col min="7" max="7" width="15.28125" style="10" customWidth="1"/>
    <col min="8" max="8" width="15.28125" style="1" bestFit="1" customWidth="1"/>
    <col min="9" max="9" width="13.421875" style="8" bestFit="1" customWidth="1"/>
    <col min="10" max="16384" width="9.140625" style="8" customWidth="1"/>
  </cols>
  <sheetData>
    <row r="1" spans="1:9" ht="21">
      <c r="A1" s="556" t="s">
        <v>0</v>
      </c>
      <c r="B1" s="556"/>
      <c r="C1" s="556"/>
      <c r="D1" s="556"/>
      <c r="E1" s="556"/>
      <c r="F1" s="556"/>
      <c r="G1" s="71"/>
      <c r="H1" s="71"/>
      <c r="I1" s="1"/>
    </row>
    <row r="2" spans="1:9" ht="21">
      <c r="A2" s="557" t="s">
        <v>305</v>
      </c>
      <c r="B2" s="557"/>
      <c r="C2" s="557"/>
      <c r="D2" s="557"/>
      <c r="E2" s="557"/>
      <c r="F2" s="557"/>
      <c r="G2" s="72"/>
      <c r="H2" s="72"/>
      <c r="I2" s="1"/>
    </row>
    <row r="3" spans="1:9" ht="21">
      <c r="A3" s="558" t="s">
        <v>306</v>
      </c>
      <c r="B3" s="558"/>
      <c r="C3" s="558"/>
      <c r="D3" s="558"/>
      <c r="E3" s="558"/>
      <c r="F3" s="558"/>
      <c r="G3" s="73"/>
      <c r="H3" s="73"/>
      <c r="I3" s="1"/>
    </row>
    <row r="4" spans="1:9" ht="21">
      <c r="A4" s="257"/>
      <c r="B4" s="257"/>
      <c r="C4" s="257"/>
      <c r="D4" s="257"/>
      <c r="E4" s="257"/>
      <c r="F4" s="257"/>
      <c r="G4" s="73"/>
      <c r="H4" s="73"/>
      <c r="I4" s="1"/>
    </row>
    <row r="5" ht="21">
      <c r="A5" s="200" t="s">
        <v>356</v>
      </c>
    </row>
    <row r="6" ht="15" customHeight="1">
      <c r="A6" s="200"/>
    </row>
    <row r="7" spans="1:6" s="421" customFormat="1" ht="26.25" customHeight="1">
      <c r="A7" s="416" t="s">
        <v>357</v>
      </c>
      <c r="B7" s="418" t="s">
        <v>349</v>
      </c>
      <c r="C7" s="418" t="s">
        <v>350</v>
      </c>
      <c r="D7" s="418" t="s">
        <v>351</v>
      </c>
      <c r="E7" s="419" t="s">
        <v>352</v>
      </c>
      <c r="F7" s="418" t="s">
        <v>1</v>
      </c>
    </row>
    <row r="8" spans="1:8" ht="42">
      <c r="A8" s="422" t="s">
        <v>381</v>
      </c>
      <c r="B8" s="423" t="s">
        <v>224</v>
      </c>
      <c r="C8" s="424" t="s">
        <v>382</v>
      </c>
      <c r="D8" s="423" t="s">
        <v>13</v>
      </c>
      <c r="E8" s="347" t="s">
        <v>383</v>
      </c>
      <c r="F8" s="423">
        <v>7694.08</v>
      </c>
      <c r="G8" s="1"/>
      <c r="H8" s="8"/>
    </row>
    <row r="9" spans="1:8" ht="63">
      <c r="A9" s="346" t="s">
        <v>384</v>
      </c>
      <c r="B9" s="347" t="s">
        <v>224</v>
      </c>
      <c r="C9" s="351" t="s">
        <v>382</v>
      </c>
      <c r="D9" s="350" t="s">
        <v>12</v>
      </c>
      <c r="E9" s="347" t="s">
        <v>385</v>
      </c>
      <c r="F9" s="347">
        <v>5250</v>
      </c>
      <c r="G9" s="1"/>
      <c r="H9" s="8"/>
    </row>
    <row r="10" spans="1:8" s="10" customFormat="1" ht="28.5" customHeight="1">
      <c r="A10" s="358" t="s">
        <v>386</v>
      </c>
      <c r="B10" s="359" t="s">
        <v>220</v>
      </c>
      <c r="C10" s="359" t="s">
        <v>388</v>
      </c>
      <c r="D10" s="359" t="s">
        <v>14</v>
      </c>
      <c r="E10" s="359" t="s">
        <v>110</v>
      </c>
      <c r="F10" s="359">
        <v>331.6</v>
      </c>
      <c r="G10" s="1"/>
      <c r="H10" s="8"/>
    </row>
    <row r="11" spans="1:8" ht="28.5" customHeight="1">
      <c r="A11" s="358" t="s">
        <v>387</v>
      </c>
      <c r="B11" s="359" t="s">
        <v>224</v>
      </c>
      <c r="C11" s="40" t="s">
        <v>382</v>
      </c>
      <c r="D11" s="359" t="s">
        <v>14</v>
      </c>
      <c r="E11" s="359" t="s">
        <v>110</v>
      </c>
      <c r="F11" s="359">
        <v>663.2</v>
      </c>
      <c r="G11" s="1"/>
      <c r="H11" s="8"/>
    </row>
    <row r="12" spans="1:8" ht="28.5" customHeight="1">
      <c r="A12" s="358" t="s">
        <v>389</v>
      </c>
      <c r="B12" s="359" t="s">
        <v>224</v>
      </c>
      <c r="C12" s="40" t="s">
        <v>382</v>
      </c>
      <c r="D12" s="359" t="s">
        <v>14</v>
      </c>
      <c r="E12" s="359" t="s">
        <v>109</v>
      </c>
      <c r="F12" s="359">
        <v>71500</v>
      </c>
      <c r="G12" s="1"/>
      <c r="H12" s="8"/>
    </row>
    <row r="13" spans="1:8" ht="28.5" customHeight="1">
      <c r="A13" s="358" t="s">
        <v>390</v>
      </c>
      <c r="B13" s="359" t="s">
        <v>220</v>
      </c>
      <c r="C13" s="359" t="s">
        <v>391</v>
      </c>
      <c r="D13" s="359" t="s">
        <v>14</v>
      </c>
      <c r="E13" s="359" t="s">
        <v>110</v>
      </c>
      <c r="F13" s="359">
        <v>5849</v>
      </c>
      <c r="G13" s="1"/>
      <c r="H13" s="8"/>
    </row>
    <row r="14" spans="1:8" ht="28.5" customHeight="1">
      <c r="A14" s="358" t="s">
        <v>392</v>
      </c>
      <c r="B14" s="359" t="s">
        <v>220</v>
      </c>
      <c r="C14" s="359" t="s">
        <v>391</v>
      </c>
      <c r="D14" s="359" t="s">
        <v>14</v>
      </c>
      <c r="E14" s="359" t="s">
        <v>110</v>
      </c>
      <c r="F14" s="359">
        <v>5622</v>
      </c>
      <c r="G14" s="1"/>
      <c r="H14" s="8"/>
    </row>
    <row r="15" spans="1:8" ht="28.5" customHeight="1">
      <c r="A15" s="358" t="s">
        <v>395</v>
      </c>
      <c r="B15" s="359" t="s">
        <v>220</v>
      </c>
      <c r="C15" s="359" t="s">
        <v>391</v>
      </c>
      <c r="D15" s="359" t="s">
        <v>14</v>
      </c>
      <c r="E15" s="359" t="s">
        <v>110</v>
      </c>
      <c r="F15" s="359">
        <v>1627.5</v>
      </c>
      <c r="G15" s="1"/>
      <c r="H15" s="8"/>
    </row>
    <row r="16" spans="1:8" ht="28.5" customHeight="1">
      <c r="A16" s="358" t="s">
        <v>393</v>
      </c>
      <c r="B16" s="359" t="s">
        <v>220</v>
      </c>
      <c r="C16" s="359" t="s">
        <v>391</v>
      </c>
      <c r="D16" s="359" t="s">
        <v>14</v>
      </c>
      <c r="E16" s="359" t="s">
        <v>110</v>
      </c>
      <c r="F16" s="359">
        <v>6003</v>
      </c>
      <c r="G16" s="1"/>
      <c r="H16" s="8"/>
    </row>
    <row r="17" spans="1:9" s="1" customFormat="1" ht="28.5" customHeight="1">
      <c r="A17" s="358" t="s">
        <v>396</v>
      </c>
      <c r="B17" s="359" t="s">
        <v>220</v>
      </c>
      <c r="C17" s="359" t="s">
        <v>391</v>
      </c>
      <c r="D17" s="359" t="s">
        <v>14</v>
      </c>
      <c r="E17" s="359" t="s">
        <v>110</v>
      </c>
      <c r="F17" s="359">
        <v>6563.5</v>
      </c>
      <c r="H17" s="8"/>
      <c r="I17" s="8"/>
    </row>
    <row r="18" spans="1:9" s="1" customFormat="1" ht="28.5" customHeight="1">
      <c r="A18" s="360" t="s">
        <v>394</v>
      </c>
      <c r="B18" s="361" t="s">
        <v>224</v>
      </c>
      <c r="C18" s="362" t="s">
        <v>382</v>
      </c>
      <c r="D18" s="361" t="s">
        <v>14</v>
      </c>
      <c r="E18" s="361" t="s">
        <v>110</v>
      </c>
      <c r="F18" s="87">
        <v>13148</v>
      </c>
      <c r="H18" s="8"/>
      <c r="I18" s="8"/>
    </row>
    <row r="19" spans="1:9" s="1" customFormat="1" ht="28.5" customHeight="1">
      <c r="A19" s="587" t="s">
        <v>33</v>
      </c>
      <c r="B19" s="587"/>
      <c r="C19" s="587"/>
      <c r="D19" s="587"/>
      <c r="E19" s="587"/>
      <c r="F19" s="363">
        <f>SUM(F8:F18)</f>
        <v>124251.88</v>
      </c>
      <c r="G19" s="10"/>
      <c r="I19" s="8"/>
    </row>
    <row r="21" spans="1:6" ht="21">
      <c r="A21" s="200" t="s">
        <v>416</v>
      </c>
      <c r="B21" s="2"/>
      <c r="C21" s="2"/>
      <c r="D21" s="2"/>
      <c r="F21" s="9"/>
    </row>
    <row r="22" spans="1:9" s="10" customFormat="1" ht="21">
      <c r="A22" s="201"/>
      <c r="B22" s="201" t="s">
        <v>125</v>
      </c>
      <c r="C22" s="1"/>
      <c r="D22" s="1"/>
      <c r="E22" s="1">
        <f>+'หมายเหตุ 1-3'!F22</f>
        <v>18363.659999999996</v>
      </c>
      <c r="H22" s="1"/>
      <c r="I22" s="8"/>
    </row>
    <row r="23" spans="1:9" s="10" customFormat="1" ht="21">
      <c r="A23" s="201"/>
      <c r="B23" s="201" t="s">
        <v>95</v>
      </c>
      <c r="C23" s="1"/>
      <c r="D23" s="1"/>
      <c r="E23" s="1">
        <f>+'หมายเหตุ 1-3'!F23</f>
        <v>238104.2</v>
      </c>
      <c r="H23" s="1"/>
      <c r="I23" s="8"/>
    </row>
    <row r="24" spans="1:9" s="10" customFormat="1" ht="21">
      <c r="A24" s="201"/>
      <c r="B24" s="201" t="s">
        <v>122</v>
      </c>
      <c r="C24" s="1"/>
      <c r="D24" s="1"/>
      <c r="E24" s="1">
        <f>+'หมายเหตุ 1-3'!F24</f>
        <v>10356</v>
      </c>
      <c r="H24" s="1"/>
      <c r="I24" s="8"/>
    </row>
    <row r="25" spans="1:5" ht="21">
      <c r="A25" s="201"/>
      <c r="B25" s="201" t="s">
        <v>126</v>
      </c>
      <c r="E25" s="1">
        <f>+'หมายเหตุ 1-3'!F25</f>
        <v>2826.0399999999995</v>
      </c>
    </row>
    <row r="26" spans="1:9" s="1" customFormat="1" ht="21">
      <c r="A26" s="201"/>
      <c r="B26" s="201" t="s">
        <v>124</v>
      </c>
      <c r="E26" s="1">
        <f>+'หมายเหตุ 1-3'!F26</f>
        <v>9600</v>
      </c>
      <c r="F26" s="10"/>
      <c r="G26" s="10"/>
      <c r="I26" s="8"/>
    </row>
    <row r="27" spans="1:9" s="1" customFormat="1" ht="21">
      <c r="A27" s="201"/>
      <c r="B27" s="201" t="s">
        <v>159</v>
      </c>
      <c r="E27" s="1">
        <f>+'หมายเหตุ 1-3'!F27</f>
        <v>167916</v>
      </c>
      <c r="F27" s="10"/>
      <c r="G27" s="10"/>
      <c r="I27" s="8"/>
    </row>
    <row r="28" spans="2:8" ht="21.75" thickBot="1">
      <c r="B28" s="1" t="s">
        <v>33</v>
      </c>
      <c r="E28" s="340">
        <f>SUM(E22:E27)</f>
        <v>447165.89999999997</v>
      </c>
      <c r="H28" s="409"/>
    </row>
    <row r="29" ht="21.75" thickTop="1"/>
  </sheetData>
  <sheetProtection/>
  <mergeCells count="4">
    <mergeCell ref="A19:E19"/>
    <mergeCell ref="A1:F1"/>
    <mergeCell ref="A2:F2"/>
    <mergeCell ref="A3:F3"/>
  </mergeCells>
  <printOptions/>
  <pageMargins left="0.81" right="0.15748031496062992" top="0.61" bottom="0" header="0.16" footer="0.19"/>
  <pageSetup horizontalDpi="600" verticalDpi="600" orientation="portrait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zoomScalePageLayoutView="0" workbookViewId="0" topLeftCell="A1">
      <selection activeCell="M19" sqref="M19"/>
    </sheetView>
  </sheetViews>
  <sheetFormatPr defaultColWidth="9.140625" defaultRowHeight="21.75"/>
  <cols>
    <col min="1" max="1" width="4.57421875" style="303" customWidth="1"/>
    <col min="2" max="2" width="48.28125" style="303" customWidth="1"/>
    <col min="3" max="3" width="14.140625" style="235" bestFit="1" customWidth="1"/>
    <col min="4" max="4" width="14.8515625" style="303" customWidth="1"/>
    <col min="5" max="5" width="15.7109375" style="303" bestFit="1" customWidth="1"/>
    <col min="6" max="16384" width="9.140625" style="303" customWidth="1"/>
  </cols>
  <sheetData>
    <row r="1" spans="1:7" ht="21">
      <c r="A1" s="304"/>
      <c r="B1" s="235"/>
      <c r="D1" s="235"/>
      <c r="E1" s="318"/>
      <c r="F1" s="235"/>
      <c r="G1" s="376"/>
    </row>
    <row r="2" spans="1:5" ht="21">
      <c r="A2" s="567" t="s">
        <v>0</v>
      </c>
      <c r="B2" s="567"/>
      <c r="C2" s="567"/>
      <c r="D2" s="567"/>
      <c r="E2" s="567"/>
    </row>
    <row r="3" spans="1:5" ht="21">
      <c r="A3" s="567" t="str">
        <f>+'หมายเหตุ 1'!A2:H2</f>
        <v>หมายเหตุประกอบงบแสดงฐานะการเงิน</v>
      </c>
      <c r="B3" s="567"/>
      <c r="C3" s="567"/>
      <c r="D3" s="567"/>
      <c r="E3" s="567"/>
    </row>
    <row r="4" spans="1:5" ht="21">
      <c r="A4" s="567" t="str">
        <f>+'หมายเหตุ 1'!A3:H3</f>
        <v>สำหรับปี สิ้นสุดวันที่ 30 กันยายน 2558</v>
      </c>
      <c r="B4" s="567"/>
      <c r="C4" s="567"/>
      <c r="D4" s="567"/>
      <c r="E4" s="567"/>
    </row>
    <row r="5" spans="1:5" ht="21">
      <c r="A5" s="342"/>
      <c r="B5" s="342"/>
      <c r="C5" s="342"/>
      <c r="D5" s="342"/>
      <c r="E5" s="342"/>
    </row>
    <row r="6" spans="1:8" s="8" customFormat="1" ht="21">
      <c r="A6" s="200" t="s">
        <v>429</v>
      </c>
      <c r="B6" s="2"/>
      <c r="C6" s="2"/>
      <c r="D6" s="2"/>
      <c r="E6" s="1"/>
      <c r="F6" s="9"/>
      <c r="G6" s="10"/>
      <c r="H6" s="1"/>
    </row>
    <row r="7" spans="1:5" ht="21">
      <c r="A7" s="342"/>
      <c r="B7" s="342"/>
      <c r="C7" s="377"/>
      <c r="D7" s="342"/>
      <c r="E7" s="342"/>
    </row>
    <row r="8" spans="1:5" ht="21">
      <c r="A8" s="303" t="s">
        <v>430</v>
      </c>
      <c r="E8" s="235">
        <v>20841088.38</v>
      </c>
    </row>
    <row r="9" spans="2:5" ht="21">
      <c r="B9" s="303" t="s">
        <v>431</v>
      </c>
      <c r="C9" s="235">
        <f>+'รับ+อุดหนุน'!C34</f>
        <v>7446831.210000001</v>
      </c>
      <c r="D9" s="235"/>
      <c r="E9" s="235"/>
    </row>
    <row r="10" spans="2:5" ht="21">
      <c r="B10" s="379" t="s">
        <v>432</v>
      </c>
      <c r="C10" s="378">
        <f>+C9*0.25</f>
        <v>1861707.8025000002</v>
      </c>
      <c r="D10" s="235"/>
      <c r="E10" s="235"/>
    </row>
    <row r="11" spans="2:5" ht="21">
      <c r="B11" s="379" t="s">
        <v>433</v>
      </c>
      <c r="C11" s="382"/>
      <c r="D11" s="235"/>
      <c r="E11" s="235"/>
    </row>
    <row r="12" spans="1:5" ht="21">
      <c r="A12" s="379" t="s">
        <v>424</v>
      </c>
      <c r="B12" s="303" t="s">
        <v>425</v>
      </c>
      <c r="C12" s="380"/>
      <c r="D12" s="235">
        <f>+C9-C10</f>
        <v>5585123.407500001</v>
      </c>
      <c r="E12" s="235"/>
    </row>
    <row r="13" spans="2:4" ht="21">
      <c r="B13" s="303" t="s">
        <v>426</v>
      </c>
      <c r="D13" s="235">
        <v>12292</v>
      </c>
    </row>
    <row r="14" spans="2:5" ht="21">
      <c r="B14" s="303" t="s">
        <v>435</v>
      </c>
      <c r="D14" s="235">
        <f>9000+10270+2000</f>
        <v>21270</v>
      </c>
      <c r="E14" s="235"/>
    </row>
    <row r="15" spans="1:5" ht="21">
      <c r="A15" s="379" t="s">
        <v>427</v>
      </c>
      <c r="B15" s="303" t="s">
        <v>428</v>
      </c>
      <c r="D15" s="235">
        <f>287000+365124.83</f>
        <v>652124.8300000001</v>
      </c>
      <c r="E15" s="309"/>
    </row>
    <row r="16" spans="1:5" ht="21">
      <c r="A16" s="379"/>
      <c r="B16" s="303" t="s">
        <v>434</v>
      </c>
      <c r="D16" s="378">
        <f>11403.7+18200</f>
        <v>29603.7</v>
      </c>
      <c r="E16" s="309">
        <f>+D12+D13+D14-D15-D16</f>
        <v>4936956.8775</v>
      </c>
    </row>
    <row r="17" spans="1:5" ht="21.75" thickBot="1">
      <c r="A17" s="303" t="s">
        <v>436</v>
      </c>
      <c r="E17" s="381">
        <f>+E8+E16</f>
        <v>25778045.2575</v>
      </c>
    </row>
    <row r="18" ht="21.75" thickTop="1"/>
    <row r="19" spans="1:3" ht="21">
      <c r="A19" s="371" t="s">
        <v>437</v>
      </c>
      <c r="B19" s="371"/>
      <c r="C19" s="373"/>
    </row>
    <row r="20" spans="2:5" ht="21">
      <c r="B20" s="303" t="s">
        <v>438</v>
      </c>
      <c r="E20" s="235">
        <f>+งบทดลองหลังปิด!E13</f>
        <v>1356950.83</v>
      </c>
    </row>
    <row r="21" spans="2:5" ht="21">
      <c r="B21" s="303" t="s">
        <v>439</v>
      </c>
      <c r="E21" s="235">
        <f>+'หมายเหตุ 3-6'!H40</f>
        <v>79155.95999999999</v>
      </c>
    </row>
    <row r="22" spans="2:5" ht="21">
      <c r="B22" s="303" t="s">
        <v>440</v>
      </c>
      <c r="E22" s="235">
        <f>+'หมายเหตุ 3-6'!H44</f>
        <v>257160</v>
      </c>
    </row>
    <row r="23" spans="2:5" ht="21">
      <c r="B23" s="303" t="s">
        <v>441</v>
      </c>
      <c r="E23" s="235">
        <v>24084778.47</v>
      </c>
    </row>
    <row r="24" ht="21.75" thickBot="1">
      <c r="E24" s="381">
        <f>SUM(E20:E23)</f>
        <v>25778045.259999998</v>
      </c>
    </row>
    <row r="25" spans="4:5" ht="21.75" thickTop="1">
      <c r="D25" s="382"/>
      <c r="E25" s="311">
        <f>+E17-E24</f>
        <v>-0.002499997615814209</v>
      </c>
    </row>
    <row r="27" ht="21">
      <c r="A27" s="312" t="s">
        <v>456</v>
      </c>
    </row>
    <row r="28" ht="21">
      <c r="A28" s="303" t="s">
        <v>442</v>
      </c>
    </row>
  </sheetData>
  <sheetProtection/>
  <mergeCells count="3">
    <mergeCell ref="A2:E2"/>
    <mergeCell ref="A3:E3"/>
    <mergeCell ref="A4:E4"/>
  </mergeCells>
  <printOptions/>
  <pageMargins left="0.91" right="0.12" top="0.51" bottom="0.23" header="0.16" footer="0.16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zoomScalePageLayoutView="0" workbookViewId="0" topLeftCell="A1">
      <selection activeCell="J13" sqref="J13"/>
    </sheetView>
  </sheetViews>
  <sheetFormatPr defaultColWidth="9.140625" defaultRowHeight="21.75"/>
  <cols>
    <col min="1" max="1" width="21.28125" style="303" customWidth="1"/>
    <col min="2" max="2" width="24.140625" style="303" customWidth="1"/>
    <col min="3" max="3" width="26.8515625" style="235" customWidth="1"/>
    <col min="4" max="8" width="15.7109375" style="303" customWidth="1"/>
    <col min="9" max="16384" width="9.140625" style="303" customWidth="1"/>
  </cols>
  <sheetData>
    <row r="1" spans="1:8" ht="21">
      <c r="A1" s="567" t="s">
        <v>0</v>
      </c>
      <c r="B1" s="567"/>
      <c r="C1" s="567"/>
      <c r="D1" s="567"/>
      <c r="E1" s="567"/>
      <c r="F1" s="567"/>
      <c r="G1" s="567"/>
      <c r="H1" s="567"/>
    </row>
    <row r="2" spans="1:8" ht="21">
      <c r="A2" s="567" t="str">
        <f>+'หมายเหตุ 1'!A2:H2</f>
        <v>หมายเหตุประกอบงบแสดงฐานะการเงิน</v>
      </c>
      <c r="B2" s="567"/>
      <c r="C2" s="567"/>
      <c r="D2" s="567"/>
      <c r="E2" s="567"/>
      <c r="F2" s="567"/>
      <c r="G2" s="567"/>
      <c r="H2" s="567"/>
    </row>
    <row r="3" spans="1:8" ht="21">
      <c r="A3" s="567" t="str">
        <f>+'หมายเหตุ 1'!A3:H3</f>
        <v>สำหรับปี สิ้นสุดวันที่ 30 กันยายน 2558</v>
      </c>
      <c r="B3" s="567"/>
      <c r="C3" s="567"/>
      <c r="D3" s="567"/>
      <c r="E3" s="567"/>
      <c r="F3" s="567"/>
      <c r="G3" s="567"/>
      <c r="H3" s="567"/>
    </row>
    <row r="4" spans="1:5" ht="9.75" customHeight="1">
      <c r="A4" s="342"/>
      <c r="B4" s="342"/>
      <c r="C4" s="342"/>
      <c r="D4" s="342"/>
      <c r="E4" s="342"/>
    </row>
    <row r="5" spans="1:8" s="8" customFormat="1" ht="21">
      <c r="A5" s="200" t="s">
        <v>443</v>
      </c>
      <c r="B5" s="2"/>
      <c r="C5" s="2"/>
      <c r="D5" s="2"/>
      <c r="E5" s="1"/>
      <c r="F5" s="9"/>
      <c r="G5" s="10"/>
      <c r="H5" s="1"/>
    </row>
    <row r="6" spans="1:8" s="8" customFormat="1" ht="11.25" customHeight="1">
      <c r="A6" s="200"/>
      <c r="B6" s="2"/>
      <c r="C6" s="2"/>
      <c r="D6" s="2"/>
      <c r="E6" s="1"/>
      <c r="F6" s="9"/>
      <c r="G6" s="10"/>
      <c r="H6" s="1"/>
    </row>
    <row r="7" spans="1:8" s="304" customFormat="1" ht="42">
      <c r="A7" s="399" t="s">
        <v>351</v>
      </c>
      <c r="B7" s="399" t="s">
        <v>352</v>
      </c>
      <c r="C7" s="400" t="s">
        <v>353</v>
      </c>
      <c r="D7" s="399" t="s">
        <v>444</v>
      </c>
      <c r="E7" s="399" t="s">
        <v>119</v>
      </c>
      <c r="F7" s="399" t="s">
        <v>116</v>
      </c>
      <c r="G7" s="399" t="s">
        <v>94</v>
      </c>
      <c r="H7" s="399" t="s">
        <v>445</v>
      </c>
    </row>
    <row r="8" spans="1:8" ht="42">
      <c r="A8" s="397" t="s">
        <v>18</v>
      </c>
      <c r="B8" s="397" t="s">
        <v>454</v>
      </c>
      <c r="C8" s="398" t="s">
        <v>446</v>
      </c>
      <c r="D8" s="367">
        <v>41000</v>
      </c>
      <c r="E8" s="367">
        <v>39500</v>
      </c>
      <c r="F8" s="367">
        <v>0</v>
      </c>
      <c r="G8" s="367">
        <f>+E8-F8</f>
        <v>39500</v>
      </c>
      <c r="H8" s="367">
        <v>0</v>
      </c>
    </row>
    <row r="9" spans="1:8" ht="42">
      <c r="A9" s="395" t="s">
        <v>18</v>
      </c>
      <c r="B9" s="395" t="s">
        <v>454</v>
      </c>
      <c r="C9" s="396" t="s">
        <v>447</v>
      </c>
      <c r="D9" s="347">
        <v>99000</v>
      </c>
      <c r="E9" s="347">
        <v>95000</v>
      </c>
      <c r="F9" s="347">
        <v>0</v>
      </c>
      <c r="G9" s="347">
        <f aca="true" t="shared" si="0" ref="G9:G16">+E9-F9</f>
        <v>95000</v>
      </c>
      <c r="H9" s="347">
        <v>0</v>
      </c>
    </row>
    <row r="10" spans="1:8" ht="42">
      <c r="A10" s="395" t="s">
        <v>18</v>
      </c>
      <c r="B10" s="395" t="s">
        <v>454</v>
      </c>
      <c r="C10" s="396" t="s">
        <v>448</v>
      </c>
      <c r="D10" s="347">
        <v>23000</v>
      </c>
      <c r="E10" s="347">
        <v>22500</v>
      </c>
      <c r="F10" s="347">
        <v>0</v>
      </c>
      <c r="G10" s="347">
        <f t="shared" si="0"/>
        <v>22500</v>
      </c>
      <c r="H10" s="347">
        <v>0</v>
      </c>
    </row>
    <row r="11" spans="1:8" ht="42">
      <c r="A11" s="395" t="s">
        <v>18</v>
      </c>
      <c r="B11" s="395" t="s">
        <v>454</v>
      </c>
      <c r="C11" s="396" t="s">
        <v>449</v>
      </c>
      <c r="D11" s="347">
        <v>57000</v>
      </c>
      <c r="E11" s="347">
        <v>55000</v>
      </c>
      <c r="F11" s="347">
        <v>0</v>
      </c>
      <c r="G11" s="347">
        <f t="shared" si="0"/>
        <v>55000</v>
      </c>
      <c r="H11" s="347">
        <v>0</v>
      </c>
    </row>
    <row r="12" spans="1:8" ht="42">
      <c r="A12" s="395" t="s">
        <v>18</v>
      </c>
      <c r="B12" s="395" t="s">
        <v>454</v>
      </c>
      <c r="C12" s="396" t="s">
        <v>450</v>
      </c>
      <c r="D12" s="347">
        <v>32000</v>
      </c>
      <c r="E12" s="347">
        <v>30500</v>
      </c>
      <c r="F12" s="347">
        <v>0</v>
      </c>
      <c r="G12" s="347">
        <f t="shared" si="0"/>
        <v>30500</v>
      </c>
      <c r="H12" s="347">
        <v>0</v>
      </c>
    </row>
    <row r="13" spans="1:8" ht="42">
      <c r="A13" s="395" t="s">
        <v>18</v>
      </c>
      <c r="B13" s="395" t="s">
        <v>454</v>
      </c>
      <c r="C13" s="396" t="s">
        <v>451</v>
      </c>
      <c r="D13" s="347">
        <v>73800</v>
      </c>
      <c r="E13" s="347">
        <v>70500</v>
      </c>
      <c r="F13" s="347">
        <v>0</v>
      </c>
      <c r="G13" s="347">
        <f t="shared" si="0"/>
        <v>70500</v>
      </c>
      <c r="H13" s="347">
        <v>0</v>
      </c>
    </row>
    <row r="14" spans="1:8" ht="42">
      <c r="A14" s="395" t="s">
        <v>18</v>
      </c>
      <c r="B14" s="395" t="s">
        <v>454</v>
      </c>
      <c r="C14" s="396" t="s">
        <v>453</v>
      </c>
      <c r="D14" s="347">
        <v>81800</v>
      </c>
      <c r="E14" s="347">
        <v>78500</v>
      </c>
      <c r="F14" s="347">
        <v>0</v>
      </c>
      <c r="G14" s="347">
        <f t="shared" si="0"/>
        <v>78500</v>
      </c>
      <c r="H14" s="347">
        <v>0</v>
      </c>
    </row>
    <row r="15" spans="1:8" ht="63">
      <c r="A15" s="395" t="s">
        <v>18</v>
      </c>
      <c r="B15" s="395" t="s">
        <v>454</v>
      </c>
      <c r="C15" s="396" t="s">
        <v>452</v>
      </c>
      <c r="D15" s="347">
        <v>152000</v>
      </c>
      <c r="E15" s="347">
        <v>0</v>
      </c>
      <c r="F15" s="347">
        <v>0</v>
      </c>
      <c r="G15" s="347">
        <f t="shared" si="0"/>
        <v>0</v>
      </c>
      <c r="H15" s="347">
        <v>152000</v>
      </c>
    </row>
    <row r="16" spans="1:8" ht="42">
      <c r="A16" s="401" t="s">
        <v>18</v>
      </c>
      <c r="B16" s="401" t="s">
        <v>454</v>
      </c>
      <c r="C16" s="402" t="s">
        <v>455</v>
      </c>
      <c r="D16" s="354">
        <v>175000</v>
      </c>
      <c r="E16" s="354">
        <v>0</v>
      </c>
      <c r="F16" s="354">
        <v>0</v>
      </c>
      <c r="G16" s="354">
        <f t="shared" si="0"/>
        <v>0</v>
      </c>
      <c r="H16" s="354">
        <v>175000</v>
      </c>
    </row>
    <row r="17" spans="1:8" ht="21">
      <c r="A17" s="588" t="s">
        <v>33</v>
      </c>
      <c r="B17" s="588"/>
      <c r="C17" s="588"/>
      <c r="D17" s="403">
        <f>SUM(D8:D16)</f>
        <v>734600</v>
      </c>
      <c r="E17" s="403">
        <f>SUM(E8:E16)</f>
        <v>391500</v>
      </c>
      <c r="F17" s="403">
        <f>SUM(F8:F16)</f>
        <v>0</v>
      </c>
      <c r="G17" s="403">
        <f>SUM(G8:G16)</f>
        <v>391500</v>
      </c>
      <c r="H17" s="403">
        <f>SUM(H8:H16)</f>
        <v>327000</v>
      </c>
    </row>
    <row r="18" spans="4:8" ht="21">
      <c r="D18" s="1"/>
      <c r="E18" s="1"/>
      <c r="F18" s="1"/>
      <c r="G18" s="1"/>
      <c r="H18" s="1"/>
    </row>
    <row r="19" spans="4:8" ht="21">
      <c r="D19" s="1"/>
      <c r="E19" s="1"/>
      <c r="F19" s="1"/>
      <c r="G19" s="1"/>
      <c r="H19" s="1"/>
    </row>
    <row r="20" spans="4:8" ht="21">
      <c r="D20" s="1"/>
      <c r="E20" s="1"/>
      <c r="F20" s="1"/>
      <c r="G20" s="1"/>
      <c r="H20" s="1"/>
    </row>
    <row r="21" spans="4:8" ht="21">
      <c r="D21" s="1"/>
      <c r="E21" s="1"/>
      <c r="F21" s="1"/>
      <c r="G21" s="1"/>
      <c r="H21" s="1"/>
    </row>
  </sheetData>
  <sheetProtection/>
  <mergeCells count="4">
    <mergeCell ref="A17:C17"/>
    <mergeCell ref="A1:H1"/>
    <mergeCell ref="A2:H2"/>
    <mergeCell ref="A3:H3"/>
  </mergeCells>
  <printOptions/>
  <pageMargins left="0.62" right="0.11811023622047245" top="0.35433070866141736" bottom="0.1968503937007874" header="0.15748031496062992" footer="0.1574803149606299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66"/>
  </sheetPr>
  <dimension ref="A1:N26"/>
  <sheetViews>
    <sheetView zoomScalePageLayoutView="0" workbookViewId="0" topLeftCell="A1">
      <selection activeCell="C26" sqref="C26"/>
    </sheetView>
  </sheetViews>
  <sheetFormatPr defaultColWidth="9.140625" defaultRowHeight="22.5" customHeight="1"/>
  <cols>
    <col min="1" max="1" width="13.421875" style="263" customWidth="1"/>
    <col min="2" max="2" width="22.57421875" style="263" customWidth="1"/>
    <col min="3" max="3" width="15.140625" style="263" customWidth="1"/>
    <col min="4" max="4" width="13.140625" style="263" hidden="1" customWidth="1"/>
    <col min="5" max="5" width="9.140625" style="263" hidden="1" customWidth="1"/>
    <col min="6" max="6" width="10.7109375" style="263" hidden="1" customWidth="1"/>
    <col min="7" max="7" width="15.00390625" style="263" customWidth="1"/>
    <col min="8" max="8" width="15.7109375" style="263" hidden="1" customWidth="1"/>
    <col min="9" max="9" width="17.7109375" style="263" hidden="1" customWidth="1"/>
    <col min="10" max="10" width="16.28125" style="263" customWidth="1"/>
    <col min="11" max="11" width="9.7109375" style="263" hidden="1" customWidth="1"/>
    <col min="12" max="12" width="10.7109375" style="263" hidden="1" customWidth="1"/>
    <col min="13" max="13" width="8.00390625" style="263" hidden="1" customWidth="1"/>
    <col min="14" max="14" width="15.57421875" style="263" customWidth="1"/>
    <col min="15" max="16384" width="9.140625" style="263" customWidth="1"/>
  </cols>
  <sheetData>
    <row r="1" spans="1:14" ht="22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22.5" customHeight="1">
      <c r="A2" s="593" t="s">
        <v>457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</row>
    <row r="3" spans="1:14" ht="22.5" customHeight="1">
      <c r="A3" s="593" t="str">
        <f>+'รับ+อุดหนุน'!A3</f>
        <v>ตั้งแต่วันที่ 1 ตุลาคม 2557  ถึงวันที่ 30 กันยายน 2558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</row>
    <row r="4" spans="1:14" ht="2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5"/>
      <c r="N4" s="265"/>
    </row>
    <row r="5" spans="1:14" ht="23.25" customHeight="1">
      <c r="A5" s="597" t="s">
        <v>459</v>
      </c>
      <c r="B5" s="591" t="s">
        <v>351</v>
      </c>
      <c r="C5" s="594" t="s">
        <v>349</v>
      </c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6"/>
    </row>
    <row r="6" spans="1:14" s="268" customFormat="1" ht="22.5" customHeight="1">
      <c r="A6" s="598"/>
      <c r="B6" s="600"/>
      <c r="C6" s="591" t="s">
        <v>220</v>
      </c>
      <c r="D6" s="343" t="s">
        <v>221</v>
      </c>
      <c r="E6" s="591" t="s">
        <v>222</v>
      </c>
      <c r="F6" s="591" t="s">
        <v>223</v>
      </c>
      <c r="G6" s="591" t="s">
        <v>224</v>
      </c>
      <c r="H6" s="266" t="s">
        <v>225</v>
      </c>
      <c r="I6" s="343" t="s">
        <v>262</v>
      </c>
      <c r="J6" s="343" t="s">
        <v>227</v>
      </c>
      <c r="K6" s="591" t="s">
        <v>263</v>
      </c>
      <c r="L6" s="591" t="s">
        <v>264</v>
      </c>
      <c r="M6" s="591" t="s">
        <v>11</v>
      </c>
      <c r="N6" s="591" t="s">
        <v>33</v>
      </c>
    </row>
    <row r="7" spans="1:14" s="268" customFormat="1" ht="22.5" customHeight="1">
      <c r="A7" s="599"/>
      <c r="B7" s="592"/>
      <c r="C7" s="592"/>
      <c r="D7" s="344" t="s">
        <v>228</v>
      </c>
      <c r="E7" s="592"/>
      <c r="F7" s="592"/>
      <c r="G7" s="592"/>
      <c r="H7" s="270" t="s">
        <v>261</v>
      </c>
      <c r="I7" s="344" t="s">
        <v>229</v>
      </c>
      <c r="J7" s="344" t="s">
        <v>248</v>
      </c>
      <c r="K7" s="592"/>
      <c r="L7" s="592"/>
      <c r="M7" s="592"/>
      <c r="N7" s="592"/>
    </row>
    <row r="8" spans="1:14" s="274" customFormat="1" ht="22.5" customHeight="1">
      <c r="A8" s="271" t="s">
        <v>103</v>
      </c>
      <c r="B8" s="271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</row>
    <row r="9" spans="1:14" s="274" customFormat="1" ht="22.5" customHeight="1">
      <c r="A9" s="220" t="s">
        <v>11</v>
      </c>
      <c r="B9" s="220" t="s">
        <v>11</v>
      </c>
      <c r="C9" s="275">
        <v>0</v>
      </c>
      <c r="D9" s="275"/>
      <c r="E9" s="275"/>
      <c r="F9" s="275"/>
      <c r="G9" s="275">
        <v>0</v>
      </c>
      <c r="H9" s="275"/>
      <c r="I9" s="275"/>
      <c r="J9" s="275">
        <v>0</v>
      </c>
      <c r="K9" s="275"/>
      <c r="L9" s="275"/>
      <c r="M9" s="275"/>
      <c r="N9" s="275">
        <f>SUM(C9:M9)</f>
        <v>0</v>
      </c>
    </row>
    <row r="10" spans="1:14" s="274" customFormat="1" ht="22.5" customHeight="1">
      <c r="A10" s="220" t="s">
        <v>460</v>
      </c>
      <c r="B10" s="220" t="s">
        <v>105</v>
      </c>
      <c r="C10" s="275">
        <v>0</v>
      </c>
      <c r="D10" s="275"/>
      <c r="E10" s="275"/>
      <c r="F10" s="275"/>
      <c r="G10" s="275">
        <v>0</v>
      </c>
      <c r="H10" s="275"/>
      <c r="I10" s="275"/>
      <c r="J10" s="275">
        <v>0</v>
      </c>
      <c r="K10" s="275"/>
      <c r="L10" s="275"/>
      <c r="M10" s="275"/>
      <c r="N10" s="275">
        <f>SUM(C10:M10)</f>
        <v>0</v>
      </c>
    </row>
    <row r="11" spans="1:14" s="274" customFormat="1" ht="22.5" customHeight="1">
      <c r="A11" s="220"/>
      <c r="B11" s="220" t="s">
        <v>106</v>
      </c>
      <c r="C11" s="275">
        <f>27920+7600+41688.62+199351.27</f>
        <v>276559.89</v>
      </c>
      <c r="D11" s="275"/>
      <c r="E11" s="275"/>
      <c r="F11" s="275"/>
      <c r="G11" s="275">
        <f>12214.29+16850.65</f>
        <v>29064.940000000002</v>
      </c>
      <c r="H11" s="275"/>
      <c r="I11" s="275"/>
      <c r="J11" s="275">
        <v>0</v>
      </c>
      <c r="K11" s="275"/>
      <c r="L11" s="275"/>
      <c r="M11" s="275"/>
      <c r="N11" s="275">
        <f aca="true" t="shared" si="0" ref="N11:N19">SUM(C11:M11)</f>
        <v>305624.83</v>
      </c>
    </row>
    <row r="12" spans="1:14" s="274" customFormat="1" ht="22.5" customHeight="1">
      <c r="A12" s="220" t="s">
        <v>461</v>
      </c>
      <c r="B12" s="220" t="s">
        <v>12</v>
      </c>
      <c r="C12" s="275">
        <v>0</v>
      </c>
      <c r="D12" s="275"/>
      <c r="E12" s="275"/>
      <c r="F12" s="275"/>
      <c r="G12" s="275">
        <v>0</v>
      </c>
      <c r="H12" s="275"/>
      <c r="I12" s="275"/>
      <c r="J12" s="275">
        <v>0</v>
      </c>
      <c r="K12" s="275"/>
      <c r="L12" s="275"/>
      <c r="M12" s="275"/>
      <c r="N12" s="275">
        <f t="shared" si="0"/>
        <v>0</v>
      </c>
    </row>
    <row r="13" spans="1:14" s="274" customFormat="1" ht="22.5" customHeight="1">
      <c r="A13" s="220"/>
      <c r="B13" s="220" t="s">
        <v>13</v>
      </c>
      <c r="C13" s="275">
        <v>18200</v>
      </c>
      <c r="D13" s="275"/>
      <c r="E13" s="275"/>
      <c r="F13" s="275"/>
      <c r="G13" s="275">
        <v>0</v>
      </c>
      <c r="H13" s="275"/>
      <c r="I13" s="275"/>
      <c r="J13" s="275">
        <v>0</v>
      </c>
      <c r="K13" s="275"/>
      <c r="L13" s="275"/>
      <c r="M13" s="275"/>
      <c r="N13" s="275">
        <f t="shared" si="0"/>
        <v>18200</v>
      </c>
    </row>
    <row r="14" spans="1:14" s="274" customFormat="1" ht="22.5" customHeight="1">
      <c r="A14" s="220"/>
      <c r="B14" s="220" t="s">
        <v>458</v>
      </c>
      <c r="C14" s="275">
        <v>0</v>
      </c>
      <c r="D14" s="275"/>
      <c r="E14" s="275"/>
      <c r="F14" s="275"/>
      <c r="G14" s="275">
        <v>0</v>
      </c>
      <c r="H14" s="275"/>
      <c r="I14" s="275"/>
      <c r="J14" s="275">
        <v>0</v>
      </c>
      <c r="K14" s="275"/>
      <c r="L14" s="275"/>
      <c r="M14" s="275"/>
      <c r="N14" s="275">
        <f t="shared" si="0"/>
        <v>0</v>
      </c>
    </row>
    <row r="15" spans="1:14" s="274" customFormat="1" ht="22.5" customHeight="1">
      <c r="A15" s="220"/>
      <c r="B15" s="220" t="s">
        <v>15</v>
      </c>
      <c r="C15" s="275">
        <v>0</v>
      </c>
      <c r="D15" s="275"/>
      <c r="E15" s="275"/>
      <c r="F15" s="275"/>
      <c r="G15" s="275">
        <v>0</v>
      </c>
      <c r="H15" s="275"/>
      <c r="I15" s="275"/>
      <c r="J15" s="275">
        <v>0</v>
      </c>
      <c r="K15" s="275"/>
      <c r="L15" s="275"/>
      <c r="M15" s="275"/>
      <c r="N15" s="275">
        <f t="shared" si="0"/>
        <v>0</v>
      </c>
    </row>
    <row r="16" spans="1:14" s="274" customFormat="1" ht="22.5" customHeight="1">
      <c r="A16" s="220" t="s">
        <v>462</v>
      </c>
      <c r="B16" s="220" t="s">
        <v>17</v>
      </c>
      <c r="C16" s="275">
        <v>0</v>
      </c>
      <c r="D16" s="275"/>
      <c r="E16" s="275"/>
      <c r="F16" s="275"/>
      <c r="G16" s="275">
        <v>0</v>
      </c>
      <c r="H16" s="275"/>
      <c r="I16" s="275"/>
      <c r="J16" s="275">
        <v>0</v>
      </c>
      <c r="K16" s="275"/>
      <c r="L16" s="275"/>
      <c r="M16" s="275"/>
      <c r="N16" s="275">
        <f t="shared" si="0"/>
        <v>0</v>
      </c>
    </row>
    <row r="17" spans="1:14" s="274" customFormat="1" ht="22.5" customHeight="1">
      <c r="A17" s="220"/>
      <c r="B17" s="220" t="s">
        <v>18</v>
      </c>
      <c r="C17" s="275">
        <v>0</v>
      </c>
      <c r="D17" s="275"/>
      <c r="E17" s="275"/>
      <c r="F17" s="275"/>
      <c r="G17" s="275">
        <v>0</v>
      </c>
      <c r="H17" s="275"/>
      <c r="I17" s="275"/>
      <c r="J17" s="275">
        <f>49000+88000+87500+62500+59500</f>
        <v>346500</v>
      </c>
      <c r="K17" s="275"/>
      <c r="L17" s="275"/>
      <c r="M17" s="275"/>
      <c r="N17" s="275">
        <f t="shared" si="0"/>
        <v>346500</v>
      </c>
    </row>
    <row r="18" spans="1:14" s="274" customFormat="1" ht="22.5" customHeight="1">
      <c r="A18" s="218" t="s">
        <v>463</v>
      </c>
      <c r="B18" s="218" t="s">
        <v>16</v>
      </c>
      <c r="C18" s="275">
        <v>0</v>
      </c>
      <c r="D18" s="277"/>
      <c r="E18" s="277"/>
      <c r="F18" s="277"/>
      <c r="G18" s="275">
        <v>0</v>
      </c>
      <c r="H18" s="277"/>
      <c r="I18" s="277"/>
      <c r="J18" s="277">
        <v>0</v>
      </c>
      <c r="K18" s="275"/>
      <c r="L18" s="277"/>
      <c r="M18" s="277"/>
      <c r="N18" s="275">
        <f t="shared" si="0"/>
        <v>0</v>
      </c>
    </row>
    <row r="19" spans="1:14" s="274" customFormat="1" ht="22.5" customHeight="1">
      <c r="A19" s="273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5">
        <f t="shared" si="0"/>
        <v>0</v>
      </c>
    </row>
    <row r="20" spans="1:14" s="281" customFormat="1" ht="22.5" customHeight="1" thickBot="1">
      <c r="A20" s="589" t="s">
        <v>33</v>
      </c>
      <c r="B20" s="590"/>
      <c r="C20" s="280">
        <f aca="true" t="shared" si="1" ref="C20:N20">SUM(C10:C18)</f>
        <v>294759.89</v>
      </c>
      <c r="D20" s="280">
        <f t="shared" si="1"/>
        <v>0</v>
      </c>
      <c r="E20" s="280">
        <f t="shared" si="1"/>
        <v>0</v>
      </c>
      <c r="F20" s="280">
        <f t="shared" si="1"/>
        <v>0</v>
      </c>
      <c r="G20" s="280">
        <f t="shared" si="1"/>
        <v>29064.940000000002</v>
      </c>
      <c r="H20" s="280">
        <f t="shared" si="1"/>
        <v>0</v>
      </c>
      <c r="I20" s="280">
        <f t="shared" si="1"/>
        <v>0</v>
      </c>
      <c r="J20" s="280">
        <f t="shared" si="1"/>
        <v>346500</v>
      </c>
      <c r="K20" s="280">
        <f t="shared" si="1"/>
        <v>0</v>
      </c>
      <c r="L20" s="280">
        <f t="shared" si="1"/>
        <v>0</v>
      </c>
      <c r="M20" s="280">
        <f t="shared" si="1"/>
        <v>0</v>
      </c>
      <c r="N20" s="280">
        <f t="shared" si="1"/>
        <v>670324.8300000001</v>
      </c>
    </row>
    <row r="21" spans="1:14" s="281" customFormat="1" ht="22.5" customHeight="1" thickTop="1">
      <c r="A21" s="388"/>
      <c r="B21" s="388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</row>
    <row r="22" spans="2:8" s="390" customFormat="1" ht="22.5" customHeight="1">
      <c r="B22" s="392"/>
      <c r="H22" s="389"/>
    </row>
    <row r="24" spans="1:10" ht="22.5" customHeight="1">
      <c r="A24" s="391" t="s">
        <v>467</v>
      </c>
      <c r="C24" s="389" t="s">
        <v>466</v>
      </c>
      <c r="J24" s="392" t="s">
        <v>468</v>
      </c>
    </row>
    <row r="25" spans="1:10" ht="22.5" customHeight="1">
      <c r="A25" s="389" t="s">
        <v>470</v>
      </c>
      <c r="C25" s="389" t="s">
        <v>235</v>
      </c>
      <c r="J25" s="392" t="s">
        <v>469</v>
      </c>
    </row>
    <row r="26" spans="1:10" ht="22.5" customHeight="1">
      <c r="A26" s="389" t="s">
        <v>471</v>
      </c>
      <c r="C26" s="389" t="s">
        <v>465</v>
      </c>
      <c r="J26" s="392" t="s">
        <v>464</v>
      </c>
    </row>
  </sheetData>
  <sheetProtection/>
  <mergeCells count="15">
    <mergeCell ref="L6:L7"/>
    <mergeCell ref="M6:M7"/>
    <mergeCell ref="N6:N7"/>
    <mergeCell ref="A1:N1"/>
    <mergeCell ref="A2:N2"/>
    <mergeCell ref="A3:N3"/>
    <mergeCell ref="C5:N5"/>
    <mergeCell ref="A5:A7"/>
    <mergeCell ref="B5:B7"/>
    <mergeCell ref="A20:B20"/>
    <mergeCell ref="C6:C7"/>
    <mergeCell ref="E6:E7"/>
    <mergeCell ref="F6:F7"/>
    <mergeCell ref="G6:G7"/>
    <mergeCell ref="K6:K7"/>
  </mergeCells>
  <printOptions/>
  <pageMargins left="0.74" right="0.15748031496062992" top="0.83" bottom="0.15748031496062992" header="0.11811023622047245" footer="0.118110236220472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148"/>
  <sheetViews>
    <sheetView zoomScalePageLayoutView="0" workbookViewId="0" topLeftCell="A1">
      <pane ySplit="5" topLeftCell="A6" activePane="bottomLeft" state="frozen"/>
      <selection pane="topLeft" activeCell="H39" sqref="H39"/>
      <selection pane="bottomLeft" activeCell="J23" sqref="J23"/>
    </sheetView>
  </sheetViews>
  <sheetFormatPr defaultColWidth="9.140625" defaultRowHeight="21.75"/>
  <cols>
    <col min="1" max="1" width="4.00390625" style="18" customWidth="1"/>
    <col min="2" max="2" width="64.7109375" style="18" customWidth="1"/>
    <col min="3" max="3" width="13.140625" style="165" customWidth="1"/>
    <col min="4" max="4" width="13.7109375" style="18" bestFit="1" customWidth="1"/>
    <col min="5" max="6" width="12.8515625" style="18" hidden="1" customWidth="1"/>
    <col min="7" max="7" width="20.140625" style="18" customWidth="1"/>
    <col min="8" max="8" width="14.140625" style="13" bestFit="1" customWidth="1"/>
    <col min="9" max="9" width="10.00390625" style="18" bestFit="1" customWidth="1"/>
    <col min="10" max="16384" width="9.140625" style="18" customWidth="1"/>
  </cols>
  <sheetData>
    <row r="1" spans="1:10" s="3" customFormat="1" ht="19.5">
      <c r="A1" s="547" t="s">
        <v>0</v>
      </c>
      <c r="B1" s="547"/>
      <c r="C1" s="547"/>
      <c r="D1" s="547"/>
      <c r="E1" s="547"/>
      <c r="F1" s="547"/>
      <c r="G1" s="547"/>
      <c r="H1" s="11"/>
      <c r="I1" s="12"/>
      <c r="J1" s="13"/>
    </row>
    <row r="2" spans="1:10" s="3" customFormat="1" ht="19.5">
      <c r="A2" s="548" t="s">
        <v>195</v>
      </c>
      <c r="B2" s="548"/>
      <c r="C2" s="548"/>
      <c r="D2" s="548"/>
      <c r="E2" s="548"/>
      <c r="F2" s="548"/>
      <c r="G2" s="548"/>
      <c r="H2" s="14"/>
      <c r="I2" s="15"/>
      <c r="J2" s="13"/>
    </row>
    <row r="3" spans="1:10" s="3" customFormat="1" ht="19.5">
      <c r="A3" s="549" t="str">
        <f>+งบทดลอง!A3</f>
        <v>ณ  วันที่  30 กันยายน 2558</v>
      </c>
      <c r="B3" s="549"/>
      <c r="C3" s="549"/>
      <c r="D3" s="549"/>
      <c r="E3" s="549"/>
      <c r="F3" s="549"/>
      <c r="G3" s="549"/>
      <c r="H3" s="16"/>
      <c r="I3" s="17"/>
      <c r="J3" s="13"/>
    </row>
    <row r="5" spans="1:7" ht="23.25" customHeight="1">
      <c r="A5" s="554" t="s">
        <v>2</v>
      </c>
      <c r="B5" s="555"/>
      <c r="C5" s="155" t="s">
        <v>3</v>
      </c>
      <c r="D5" s="19" t="s">
        <v>24</v>
      </c>
      <c r="E5" s="19" t="s">
        <v>25</v>
      </c>
      <c r="F5" s="19" t="s">
        <v>158</v>
      </c>
      <c r="G5" s="20" t="s">
        <v>25</v>
      </c>
    </row>
    <row r="6" spans="1:7" ht="12" customHeight="1">
      <c r="A6" s="195"/>
      <c r="B6" s="196"/>
      <c r="C6" s="197"/>
      <c r="D6" s="198"/>
      <c r="E6" s="198"/>
      <c r="F6" s="198"/>
      <c r="G6" s="199"/>
    </row>
    <row r="7" spans="1:7" ht="21">
      <c r="A7" s="186" t="s">
        <v>26</v>
      </c>
      <c r="B7" s="22"/>
      <c r="C7" s="166">
        <v>410000</v>
      </c>
      <c r="D7" s="21"/>
      <c r="E7" s="21"/>
      <c r="F7" s="21"/>
      <c r="G7" s="21"/>
    </row>
    <row r="8" spans="1:7" ht="21">
      <c r="A8" s="186" t="s">
        <v>196</v>
      </c>
      <c r="B8" s="22"/>
      <c r="C8" s="166">
        <v>411000</v>
      </c>
      <c r="D8" s="21"/>
      <c r="E8" s="21"/>
      <c r="F8" s="21"/>
      <c r="G8" s="21"/>
    </row>
    <row r="9" spans="1:7" ht="21">
      <c r="A9" s="23">
        <v>1</v>
      </c>
      <c r="B9" s="24" t="s">
        <v>27</v>
      </c>
      <c r="C9" s="167">
        <v>411001</v>
      </c>
      <c r="D9" s="25">
        <v>140000</v>
      </c>
      <c r="E9" s="25">
        <v>0</v>
      </c>
      <c r="F9" s="25">
        <f>41520-30540</f>
        <v>10980</v>
      </c>
      <c r="G9" s="25">
        <f>14446.4+13402.6+72000+5010+22620+3051+16953+684+10980</f>
        <v>159147</v>
      </c>
    </row>
    <row r="10" spans="1:9" ht="21">
      <c r="A10" s="26">
        <v>2</v>
      </c>
      <c r="B10" s="27" t="s">
        <v>28</v>
      </c>
      <c r="C10" s="168">
        <v>411002</v>
      </c>
      <c r="D10" s="28">
        <v>30000</v>
      </c>
      <c r="E10" s="28">
        <v>262.99</v>
      </c>
      <c r="F10" s="28">
        <f>37635.96-20659.94</f>
        <v>16976.02</v>
      </c>
      <c r="G10" s="28">
        <f>561+1537.76+650.69+4107.73+4395.39+6009.79+3976.68+1989.62+785.11+1523.99+517.75+262.99+16976.02</f>
        <v>43294.520000000004</v>
      </c>
      <c r="I10" s="99"/>
    </row>
    <row r="11" spans="1:7" ht="21">
      <c r="A11" s="26">
        <v>3</v>
      </c>
      <c r="B11" s="27" t="s">
        <v>29</v>
      </c>
      <c r="C11" s="168">
        <v>411002</v>
      </c>
      <c r="D11" s="28">
        <v>70000</v>
      </c>
      <c r="E11" s="28">
        <v>0</v>
      </c>
      <c r="F11" s="28"/>
      <c r="G11" s="28">
        <f>11824+600+73662+1440+5500+16840</f>
        <v>109866</v>
      </c>
    </row>
    <row r="12" spans="1:7" ht="21" hidden="1">
      <c r="A12" s="26">
        <v>4</v>
      </c>
      <c r="B12" s="27" t="s">
        <v>30</v>
      </c>
      <c r="C12" s="168"/>
      <c r="D12" s="28">
        <v>0</v>
      </c>
      <c r="E12" s="28">
        <v>0</v>
      </c>
      <c r="F12" s="28"/>
      <c r="G12" s="28">
        <f>+E12</f>
        <v>0</v>
      </c>
    </row>
    <row r="13" spans="1:7" ht="21" hidden="1">
      <c r="A13" s="23">
        <v>5</v>
      </c>
      <c r="B13" s="29" t="s">
        <v>31</v>
      </c>
      <c r="C13" s="169"/>
      <c r="D13" s="30">
        <v>0</v>
      </c>
      <c r="E13" s="30">
        <v>0</v>
      </c>
      <c r="F13" s="30"/>
      <c r="G13" s="25">
        <f>+E13</f>
        <v>0</v>
      </c>
    </row>
    <row r="14" spans="1:7" ht="21" hidden="1">
      <c r="A14" s="23">
        <v>6</v>
      </c>
      <c r="B14" s="31" t="s">
        <v>32</v>
      </c>
      <c r="C14" s="170"/>
      <c r="D14" s="30">
        <v>0</v>
      </c>
      <c r="E14" s="30">
        <v>0</v>
      </c>
      <c r="F14" s="44"/>
      <c r="G14" s="32">
        <f>+E14</f>
        <v>0</v>
      </c>
    </row>
    <row r="15" spans="1:7" ht="21" hidden="1">
      <c r="A15" s="552" t="s">
        <v>33</v>
      </c>
      <c r="B15" s="553"/>
      <c r="C15" s="163"/>
      <c r="D15" s="33"/>
      <c r="E15" s="33">
        <f>SUM(E9:E14)</f>
        <v>262.99</v>
      </c>
      <c r="F15" s="33">
        <f>SUM(F9:F14)</f>
        <v>27956.02</v>
      </c>
      <c r="G15" s="34"/>
    </row>
    <row r="16" spans="1:8" s="189" customFormat="1" ht="21">
      <c r="A16" s="550" t="s">
        <v>33</v>
      </c>
      <c r="B16" s="551"/>
      <c r="C16" s="187"/>
      <c r="D16" s="33">
        <f>SUM(D9:D15)</f>
        <v>240000</v>
      </c>
      <c r="E16" s="33"/>
      <c r="F16" s="33"/>
      <c r="G16" s="34">
        <f>SUM(G9:G14)</f>
        <v>312307.52</v>
      </c>
      <c r="H16" s="188"/>
    </row>
    <row r="17" spans="1:8" s="189" customFormat="1" ht="10.5" customHeight="1">
      <c r="A17" s="191"/>
      <c r="B17" s="192"/>
      <c r="C17" s="193"/>
      <c r="D17" s="35"/>
      <c r="E17" s="35"/>
      <c r="F17" s="35"/>
      <c r="G17" s="36"/>
      <c r="H17" s="188"/>
    </row>
    <row r="18" spans="1:7" ht="21">
      <c r="A18" s="186" t="s">
        <v>197</v>
      </c>
      <c r="B18" s="22"/>
      <c r="C18" s="166">
        <v>412000</v>
      </c>
      <c r="D18" s="35"/>
      <c r="E18" s="35"/>
      <c r="F18" s="35"/>
      <c r="G18" s="36"/>
    </row>
    <row r="19" spans="1:7" ht="21">
      <c r="A19" s="37">
        <v>1</v>
      </c>
      <c r="B19" s="29" t="s">
        <v>34</v>
      </c>
      <c r="C19" s="169">
        <v>412101</v>
      </c>
      <c r="D19" s="30">
        <v>2000</v>
      </c>
      <c r="E19" s="30">
        <v>0</v>
      </c>
      <c r="F19" s="30"/>
      <c r="G19" s="30">
        <f aca="true" t="shared" si="0" ref="G19:G28">+E19</f>
        <v>0</v>
      </c>
    </row>
    <row r="20" spans="1:7" ht="21">
      <c r="A20" s="37">
        <v>2</v>
      </c>
      <c r="B20" s="29" t="s">
        <v>35</v>
      </c>
      <c r="C20" s="169">
        <v>412102</v>
      </c>
      <c r="D20" s="30">
        <v>1000</v>
      </c>
      <c r="E20" s="30">
        <v>0</v>
      </c>
      <c r="F20" s="30"/>
      <c r="G20" s="30">
        <f t="shared" si="0"/>
        <v>0</v>
      </c>
    </row>
    <row r="21" spans="1:7" ht="21">
      <c r="A21" s="38">
        <v>3</v>
      </c>
      <c r="B21" s="39" t="s">
        <v>36</v>
      </c>
      <c r="C21" s="171">
        <v>412103</v>
      </c>
      <c r="D21" s="40">
        <v>0</v>
      </c>
      <c r="E21" s="40">
        <v>0</v>
      </c>
      <c r="F21" s="40"/>
      <c r="G21" s="40">
        <f t="shared" si="0"/>
        <v>0</v>
      </c>
    </row>
    <row r="22" spans="1:7" ht="21">
      <c r="A22" s="37">
        <v>4</v>
      </c>
      <c r="B22" s="39" t="s">
        <v>37</v>
      </c>
      <c r="C22" s="171">
        <v>412104</v>
      </c>
      <c r="D22" s="40">
        <v>1000</v>
      </c>
      <c r="E22" s="40">
        <v>0</v>
      </c>
      <c r="F22" s="40"/>
      <c r="G22" s="40">
        <v>480</v>
      </c>
    </row>
    <row r="23" spans="1:7" ht="21">
      <c r="A23" s="37">
        <v>5</v>
      </c>
      <c r="B23" s="39" t="s">
        <v>38</v>
      </c>
      <c r="C23" s="171">
        <v>412106</v>
      </c>
      <c r="D23" s="40">
        <v>10000</v>
      </c>
      <c r="E23" s="40">
        <v>0</v>
      </c>
      <c r="F23" s="40"/>
      <c r="G23" s="40">
        <f t="shared" si="0"/>
        <v>0</v>
      </c>
    </row>
    <row r="24" spans="1:7" ht="21">
      <c r="A24" s="37">
        <v>6</v>
      </c>
      <c r="B24" s="39" t="s">
        <v>198</v>
      </c>
      <c r="C24" s="171">
        <v>412107</v>
      </c>
      <c r="D24" s="40">
        <v>5000</v>
      </c>
      <c r="E24" s="40">
        <v>13060</v>
      </c>
      <c r="F24" s="40"/>
      <c r="G24" s="40">
        <f>5200+3720+8040+5360+2900+6640+1820+4000+3820+18360+17000+13060</f>
        <v>89920</v>
      </c>
    </row>
    <row r="25" spans="1:7" ht="21">
      <c r="A25" s="38">
        <v>7</v>
      </c>
      <c r="B25" s="39" t="s">
        <v>199</v>
      </c>
      <c r="C25" s="171">
        <v>412110</v>
      </c>
      <c r="D25" s="40">
        <v>1000</v>
      </c>
      <c r="E25" s="40">
        <v>0</v>
      </c>
      <c r="F25" s="40"/>
      <c r="G25" s="40">
        <f t="shared" si="0"/>
        <v>0</v>
      </c>
    </row>
    <row r="26" spans="1:7" ht="21">
      <c r="A26" s="37">
        <v>8</v>
      </c>
      <c r="B26" s="39" t="s">
        <v>39</v>
      </c>
      <c r="C26" s="171">
        <v>412111</v>
      </c>
      <c r="D26" s="40">
        <v>1000</v>
      </c>
      <c r="E26" s="40">
        <v>10</v>
      </c>
      <c r="F26" s="40"/>
      <c r="G26" s="40">
        <f>40+10+30+60+80+110+30+40+20+30+10+10</f>
        <v>470</v>
      </c>
    </row>
    <row r="27" spans="1:7" ht="21">
      <c r="A27" s="37">
        <v>9</v>
      </c>
      <c r="B27" s="39" t="s">
        <v>40</v>
      </c>
      <c r="C27" s="171">
        <v>412112</v>
      </c>
      <c r="D27" s="40">
        <v>1000</v>
      </c>
      <c r="E27" s="40">
        <v>0</v>
      </c>
      <c r="F27" s="40"/>
      <c r="G27" s="40">
        <f t="shared" si="0"/>
        <v>0</v>
      </c>
    </row>
    <row r="28" spans="1:7" ht="21">
      <c r="A28" s="37">
        <v>10</v>
      </c>
      <c r="B28" s="39" t="s">
        <v>41</v>
      </c>
      <c r="C28" s="171">
        <v>412115</v>
      </c>
      <c r="D28" s="40">
        <v>0</v>
      </c>
      <c r="E28" s="40">
        <v>0</v>
      </c>
      <c r="F28" s="40"/>
      <c r="G28" s="40">
        <f t="shared" si="0"/>
        <v>0</v>
      </c>
    </row>
    <row r="29" spans="1:7" ht="21">
      <c r="A29" s="38">
        <v>11</v>
      </c>
      <c r="B29" s="41" t="s">
        <v>42</v>
      </c>
      <c r="C29" s="171">
        <v>412210</v>
      </c>
      <c r="D29" s="40">
        <v>50000</v>
      </c>
      <c r="E29" s="40">
        <v>0</v>
      </c>
      <c r="F29" s="40">
        <v>500</v>
      </c>
      <c r="G29" s="40">
        <f>12493+2100+47582+500</f>
        <v>62675</v>
      </c>
    </row>
    <row r="30" spans="1:7" ht="21">
      <c r="A30" s="37">
        <v>12</v>
      </c>
      <c r="B30" s="41" t="s">
        <v>43</v>
      </c>
      <c r="C30" s="171">
        <v>412202</v>
      </c>
      <c r="D30" s="40">
        <v>30000</v>
      </c>
      <c r="E30" s="40">
        <v>2100</v>
      </c>
      <c r="F30" s="40"/>
      <c r="G30" s="40">
        <f>3150+6550+4050+11900+2775+6550+6500+9100+22200+1100+2100</f>
        <v>75975</v>
      </c>
    </row>
    <row r="31" spans="1:7" ht="21">
      <c r="A31" s="37">
        <v>13</v>
      </c>
      <c r="B31" s="42" t="s">
        <v>200</v>
      </c>
      <c r="C31" s="171">
        <v>412128</v>
      </c>
      <c r="D31" s="40">
        <v>1000</v>
      </c>
      <c r="E31" s="40">
        <v>20</v>
      </c>
      <c r="F31" s="40"/>
      <c r="G31" s="40">
        <f>50+50+100+70+100+150+170+200+20</f>
        <v>910</v>
      </c>
    </row>
    <row r="32" spans="1:7" ht="21">
      <c r="A32" s="37">
        <v>14</v>
      </c>
      <c r="B32" s="42" t="s">
        <v>130</v>
      </c>
      <c r="C32" s="171">
        <v>412129</v>
      </c>
      <c r="D32" s="40">
        <v>20000</v>
      </c>
      <c r="E32" s="40">
        <v>0</v>
      </c>
      <c r="F32" s="40"/>
      <c r="G32" s="40">
        <v>0</v>
      </c>
    </row>
    <row r="33" spans="1:7" ht="21">
      <c r="A33" s="38">
        <v>15</v>
      </c>
      <c r="B33" s="42" t="s">
        <v>44</v>
      </c>
      <c r="C33" s="173">
        <v>412304</v>
      </c>
      <c r="D33" s="40">
        <v>5000</v>
      </c>
      <c r="E33" s="40">
        <v>0</v>
      </c>
      <c r="F33" s="40"/>
      <c r="G33" s="40">
        <v>0</v>
      </c>
    </row>
    <row r="34" spans="1:7" ht="21">
      <c r="A34" s="37"/>
      <c r="B34" s="42" t="s">
        <v>45</v>
      </c>
      <c r="C34" s="173"/>
      <c r="D34" s="40"/>
      <c r="E34" s="40">
        <v>0</v>
      </c>
      <c r="F34" s="40"/>
      <c r="G34" s="40">
        <v>0</v>
      </c>
    </row>
    <row r="35" spans="1:7" ht="21">
      <c r="A35" s="37">
        <v>16</v>
      </c>
      <c r="B35" s="42" t="s">
        <v>46</v>
      </c>
      <c r="C35" s="173">
        <v>412305</v>
      </c>
      <c r="D35" s="40">
        <v>5000</v>
      </c>
      <c r="E35" s="40">
        <v>0</v>
      </c>
      <c r="F35" s="40"/>
      <c r="G35" s="40">
        <v>0</v>
      </c>
    </row>
    <row r="36" spans="1:7" ht="21">
      <c r="A36" s="37">
        <v>17</v>
      </c>
      <c r="B36" s="42" t="s">
        <v>47</v>
      </c>
      <c r="C36" s="173">
        <v>412306</v>
      </c>
      <c r="D36" s="40">
        <v>1000</v>
      </c>
      <c r="E36" s="40">
        <v>0</v>
      </c>
      <c r="F36" s="40"/>
      <c r="G36" s="40">
        <v>0</v>
      </c>
    </row>
    <row r="37" spans="1:7" ht="21">
      <c r="A37" s="37">
        <v>18</v>
      </c>
      <c r="B37" s="42" t="s">
        <v>48</v>
      </c>
      <c r="C37" s="173">
        <v>412307</v>
      </c>
      <c r="D37" s="40">
        <v>1000</v>
      </c>
      <c r="E37" s="40">
        <v>0</v>
      </c>
      <c r="F37" s="40"/>
      <c r="G37" s="40">
        <f>737.5+1000+51.5-1000+60+151.5+524+130+58+87+78</f>
        <v>1877.5</v>
      </c>
    </row>
    <row r="38" spans="1:7" ht="21">
      <c r="A38" s="37">
        <v>19</v>
      </c>
      <c r="B38" s="42" t="s">
        <v>49</v>
      </c>
      <c r="C38" s="173">
        <v>412308</v>
      </c>
      <c r="D38" s="40">
        <v>1000</v>
      </c>
      <c r="E38" s="40">
        <v>0</v>
      </c>
      <c r="F38" s="40"/>
      <c r="G38" s="40">
        <v>0</v>
      </c>
    </row>
    <row r="39" spans="1:7" ht="21">
      <c r="A39" s="37">
        <v>20</v>
      </c>
      <c r="B39" s="42" t="s">
        <v>50</v>
      </c>
      <c r="C39" s="173"/>
      <c r="D39" s="40">
        <v>0</v>
      </c>
      <c r="E39" s="40">
        <v>0</v>
      </c>
      <c r="F39" s="40"/>
      <c r="G39" s="40">
        <v>1120</v>
      </c>
    </row>
    <row r="40" spans="1:7" ht="21">
      <c r="A40" s="37">
        <v>21</v>
      </c>
      <c r="B40" s="43" t="s">
        <v>51</v>
      </c>
      <c r="C40" s="174"/>
      <c r="D40" s="44">
        <v>1000</v>
      </c>
      <c r="E40" s="98">
        <v>0</v>
      </c>
      <c r="F40" s="44"/>
      <c r="G40" s="44">
        <v>1000</v>
      </c>
    </row>
    <row r="41" spans="1:7" ht="21" hidden="1">
      <c r="A41" s="552" t="s">
        <v>33</v>
      </c>
      <c r="B41" s="553"/>
      <c r="C41" s="163"/>
      <c r="D41" s="33"/>
      <c r="E41" s="33">
        <f>SUM(E19:E40)</f>
        <v>15190</v>
      </c>
      <c r="F41" s="33">
        <f>SUM(F19:F40)</f>
        <v>500</v>
      </c>
      <c r="G41" s="34"/>
    </row>
    <row r="42" spans="1:8" s="189" customFormat="1" ht="21">
      <c r="A42" s="550" t="s">
        <v>33</v>
      </c>
      <c r="B42" s="551"/>
      <c r="C42" s="187"/>
      <c r="D42" s="33">
        <f>SUM(D19:D41)</f>
        <v>137000</v>
      </c>
      <c r="E42" s="33"/>
      <c r="F42" s="33"/>
      <c r="G42" s="34">
        <f>SUM(G19:G40)</f>
        <v>234427.5</v>
      </c>
      <c r="H42" s="188"/>
    </row>
    <row r="43" spans="1:8" s="189" customFormat="1" ht="11.25" customHeight="1">
      <c r="A43" s="194"/>
      <c r="B43" s="192"/>
      <c r="C43" s="193"/>
      <c r="D43" s="76"/>
      <c r="E43" s="35"/>
      <c r="F43" s="35"/>
      <c r="G43" s="36"/>
      <c r="H43" s="188"/>
    </row>
    <row r="44" spans="1:7" ht="21">
      <c r="A44" s="186" t="s">
        <v>201</v>
      </c>
      <c r="B44" s="22"/>
      <c r="C44" s="166">
        <v>413000</v>
      </c>
      <c r="D44" s="35"/>
      <c r="E44" s="35"/>
      <c r="F44" s="35"/>
      <c r="G44" s="36"/>
    </row>
    <row r="45" spans="1:7" ht="21">
      <c r="A45" s="38">
        <v>1</v>
      </c>
      <c r="B45" s="39" t="s">
        <v>52</v>
      </c>
      <c r="C45" s="171">
        <v>413002</v>
      </c>
      <c r="D45" s="40">
        <v>1000</v>
      </c>
      <c r="E45" s="40">
        <v>0</v>
      </c>
      <c r="F45" s="40"/>
      <c r="G45" s="40">
        <f aca="true" t="shared" si="1" ref="G45:G51">+E45</f>
        <v>0</v>
      </c>
    </row>
    <row r="46" spans="1:7" ht="21">
      <c r="A46" s="38">
        <v>2</v>
      </c>
      <c r="B46" s="39" t="s">
        <v>53</v>
      </c>
      <c r="C46" s="171"/>
      <c r="D46" s="45">
        <v>0</v>
      </c>
      <c r="E46" s="40">
        <v>0</v>
      </c>
      <c r="F46" s="40"/>
      <c r="G46" s="40">
        <f t="shared" si="1"/>
        <v>0</v>
      </c>
    </row>
    <row r="47" spans="1:7" ht="21">
      <c r="A47" s="38">
        <v>3</v>
      </c>
      <c r="B47" s="41" t="s">
        <v>54</v>
      </c>
      <c r="C47" s="172"/>
      <c r="D47" s="45">
        <v>0</v>
      </c>
      <c r="E47" s="40">
        <v>0</v>
      </c>
      <c r="F47" s="40"/>
      <c r="G47" s="40">
        <f t="shared" si="1"/>
        <v>0</v>
      </c>
    </row>
    <row r="48" spans="1:7" ht="21">
      <c r="A48" s="38">
        <v>4</v>
      </c>
      <c r="B48" s="41" t="s">
        <v>55</v>
      </c>
      <c r="C48" s="172"/>
      <c r="D48" s="45">
        <v>0</v>
      </c>
      <c r="E48" s="40">
        <v>0</v>
      </c>
      <c r="F48" s="40"/>
      <c r="G48" s="40">
        <f t="shared" si="1"/>
        <v>0</v>
      </c>
    </row>
    <row r="49" spans="1:7" ht="21">
      <c r="A49" s="38">
        <v>5</v>
      </c>
      <c r="B49" s="41" t="s">
        <v>56</v>
      </c>
      <c r="C49" s="172"/>
      <c r="D49" s="45">
        <v>0</v>
      </c>
      <c r="E49" s="40">
        <v>0</v>
      </c>
      <c r="F49" s="40"/>
      <c r="G49" s="40">
        <f t="shared" si="1"/>
        <v>0</v>
      </c>
    </row>
    <row r="50" spans="1:7" ht="21">
      <c r="A50" s="38">
        <v>6</v>
      </c>
      <c r="B50" s="41" t="s">
        <v>127</v>
      </c>
      <c r="C50" s="172">
        <v>413003</v>
      </c>
      <c r="D50" s="45">
        <v>440000</v>
      </c>
      <c r="E50" s="40">
        <v>29205.98</v>
      </c>
      <c r="F50" s="40"/>
      <c r="G50" s="40">
        <f>12662.6+134556.2+68405.75+3456.93+9241.21+35282.87+8964.65+9687.47+88698.21+14283.34+29205.98</f>
        <v>414445.21</v>
      </c>
    </row>
    <row r="51" spans="1:7" ht="21">
      <c r="A51" s="46">
        <v>7</v>
      </c>
      <c r="B51" s="43" t="s">
        <v>57</v>
      </c>
      <c r="C51" s="175"/>
      <c r="D51" s="47">
        <v>0</v>
      </c>
      <c r="E51" s="44">
        <v>0</v>
      </c>
      <c r="F51" s="44"/>
      <c r="G51" s="44">
        <f t="shared" si="1"/>
        <v>0</v>
      </c>
    </row>
    <row r="52" spans="1:7" ht="21" hidden="1">
      <c r="A52" s="552" t="s">
        <v>33</v>
      </c>
      <c r="B52" s="553"/>
      <c r="C52" s="163"/>
      <c r="D52" s="33"/>
      <c r="E52" s="33">
        <f>SUM(E45:E51)</f>
        <v>29205.98</v>
      </c>
      <c r="F52" s="33">
        <f>SUM(F45:F51)</f>
        <v>0</v>
      </c>
      <c r="G52" s="34"/>
    </row>
    <row r="53" spans="1:8" s="189" customFormat="1" ht="21">
      <c r="A53" s="550" t="s">
        <v>33</v>
      </c>
      <c r="B53" s="551"/>
      <c r="C53" s="187"/>
      <c r="D53" s="33">
        <f>SUM(D45:D52)</f>
        <v>441000</v>
      </c>
      <c r="E53" s="33"/>
      <c r="F53" s="33"/>
      <c r="G53" s="34">
        <f>SUM(G45:G51)</f>
        <v>414445.21</v>
      </c>
      <c r="H53" s="188"/>
    </row>
    <row r="54" spans="1:7" ht="21">
      <c r="A54" s="186" t="s">
        <v>202</v>
      </c>
      <c r="B54" s="22"/>
      <c r="C54" s="166">
        <v>414000</v>
      </c>
      <c r="D54" s="35"/>
      <c r="E54" s="35"/>
      <c r="F54" s="35"/>
      <c r="G54" s="36"/>
    </row>
    <row r="55" spans="1:7" ht="21">
      <c r="A55" s="37">
        <v>1</v>
      </c>
      <c r="B55" s="48" t="s">
        <v>58</v>
      </c>
      <c r="C55" s="176">
        <v>414001</v>
      </c>
      <c r="D55" s="49">
        <v>0</v>
      </c>
      <c r="E55" s="49">
        <v>0</v>
      </c>
      <c r="F55" s="49"/>
      <c r="G55" s="49">
        <f>+E55</f>
        <v>0</v>
      </c>
    </row>
    <row r="56" spans="1:7" ht="21">
      <c r="A56" s="38">
        <v>2</v>
      </c>
      <c r="B56" s="41" t="s">
        <v>59</v>
      </c>
      <c r="C56" s="172">
        <v>414002</v>
      </c>
      <c r="D56" s="45">
        <v>0</v>
      </c>
      <c r="E56" s="45">
        <v>0</v>
      </c>
      <c r="F56" s="45"/>
      <c r="G56" s="45">
        <f>+E56</f>
        <v>0</v>
      </c>
    </row>
    <row r="57" spans="1:7" ht="21">
      <c r="A57" s="38">
        <v>3</v>
      </c>
      <c r="B57" s="41" t="s">
        <v>60</v>
      </c>
      <c r="C57" s="172"/>
      <c r="D57" s="45">
        <v>0</v>
      </c>
      <c r="E57" s="45">
        <v>0</v>
      </c>
      <c r="F57" s="45"/>
      <c r="G57" s="45">
        <f>+E57</f>
        <v>0</v>
      </c>
    </row>
    <row r="58" spans="1:7" ht="21">
      <c r="A58" s="38">
        <v>4</v>
      </c>
      <c r="B58" s="41" t="s">
        <v>61</v>
      </c>
      <c r="C58" s="172">
        <v>414005</v>
      </c>
      <c r="D58" s="45">
        <v>0</v>
      </c>
      <c r="E58" s="45">
        <v>0</v>
      </c>
      <c r="F58" s="45"/>
      <c r="G58" s="45">
        <f>+E58</f>
        <v>0</v>
      </c>
    </row>
    <row r="59" spans="1:7" ht="21">
      <c r="A59" s="38">
        <v>5</v>
      </c>
      <c r="B59" s="41" t="s">
        <v>62</v>
      </c>
      <c r="C59" s="172">
        <v>414004</v>
      </c>
      <c r="D59" s="45">
        <v>0</v>
      </c>
      <c r="E59" s="45">
        <v>0</v>
      </c>
      <c r="F59" s="45"/>
      <c r="G59" s="45">
        <f>+E59</f>
        <v>0</v>
      </c>
    </row>
    <row r="60" spans="1:7" ht="21">
      <c r="A60" s="38">
        <v>6</v>
      </c>
      <c r="B60" s="41" t="s">
        <v>63</v>
      </c>
      <c r="C60" s="172">
        <v>414006</v>
      </c>
      <c r="D60" s="45">
        <v>400000</v>
      </c>
      <c r="E60" s="45">
        <v>83645</v>
      </c>
      <c r="F60" s="45">
        <f>257160-95498</f>
        <v>161662</v>
      </c>
      <c r="G60" s="45">
        <f>21346+49669+34409+63589+56882+66151+20751+47024+71677+55948+102211+83645+161662</f>
        <v>834964</v>
      </c>
    </row>
    <row r="61" spans="1:7" ht="21" customHeight="1">
      <c r="A61" s="46">
        <v>7</v>
      </c>
      <c r="B61" s="43" t="s">
        <v>132</v>
      </c>
      <c r="C61" s="175">
        <v>414999</v>
      </c>
      <c r="D61" s="47">
        <v>10000</v>
      </c>
      <c r="E61" s="47">
        <v>0</v>
      </c>
      <c r="F61" s="50"/>
      <c r="G61" s="50">
        <f>300+750+1500+750+3300+3750+750+750+750+750+750</f>
        <v>14100</v>
      </c>
    </row>
    <row r="62" spans="1:7" ht="21" hidden="1">
      <c r="A62" s="552" t="s">
        <v>33</v>
      </c>
      <c r="B62" s="553"/>
      <c r="C62" s="163"/>
      <c r="D62" s="33"/>
      <c r="E62" s="33">
        <f>SUM(E55:E61)</f>
        <v>83645</v>
      </c>
      <c r="F62" s="33">
        <f>SUM(F55:F61)</f>
        <v>161662</v>
      </c>
      <c r="G62" s="34"/>
    </row>
    <row r="63" spans="1:8" s="189" customFormat="1" ht="21">
      <c r="A63" s="550" t="s">
        <v>33</v>
      </c>
      <c r="B63" s="551"/>
      <c r="C63" s="187"/>
      <c r="D63" s="33">
        <f>SUM(D55:D62)</f>
        <v>410000</v>
      </c>
      <c r="E63" s="33"/>
      <c r="F63" s="33"/>
      <c r="G63" s="34">
        <f>SUM(G55:G61)</f>
        <v>849064</v>
      </c>
      <c r="H63" s="188"/>
    </row>
    <row r="64" spans="1:7" ht="4.5" customHeight="1">
      <c r="A64" s="102"/>
      <c r="B64" s="103"/>
      <c r="C64" s="164"/>
      <c r="D64" s="35"/>
      <c r="E64" s="35"/>
      <c r="F64" s="35"/>
      <c r="G64" s="36"/>
    </row>
    <row r="65" spans="1:7" ht="21">
      <c r="A65" s="67" t="s">
        <v>203</v>
      </c>
      <c r="B65" s="22"/>
      <c r="C65" s="166">
        <v>415000</v>
      </c>
      <c r="D65" s="35"/>
      <c r="E65" s="35"/>
      <c r="F65" s="35"/>
      <c r="G65" s="36"/>
    </row>
    <row r="66" spans="1:7" ht="21">
      <c r="A66" s="37">
        <v>1</v>
      </c>
      <c r="B66" s="48" t="s">
        <v>64</v>
      </c>
      <c r="C66" s="176">
        <v>415001</v>
      </c>
      <c r="D66" s="49">
        <v>0</v>
      </c>
      <c r="E66" s="49">
        <v>0</v>
      </c>
      <c r="F66" s="49"/>
      <c r="G66" s="49">
        <f aca="true" t="shared" si="2" ref="G66:G73">+E66</f>
        <v>0</v>
      </c>
    </row>
    <row r="67" spans="1:7" ht="21">
      <c r="A67" s="38">
        <v>2</v>
      </c>
      <c r="B67" s="41" t="s">
        <v>65</v>
      </c>
      <c r="C67" s="172">
        <v>415002</v>
      </c>
      <c r="D67" s="45">
        <v>0</v>
      </c>
      <c r="E67" s="45">
        <v>0</v>
      </c>
      <c r="F67" s="45"/>
      <c r="G67" s="45">
        <f t="shared" si="2"/>
        <v>0</v>
      </c>
    </row>
    <row r="68" spans="1:7" ht="21">
      <c r="A68" s="38">
        <v>3</v>
      </c>
      <c r="B68" s="41" t="s">
        <v>66</v>
      </c>
      <c r="C68" s="172">
        <v>415003</v>
      </c>
      <c r="D68" s="45">
        <v>0</v>
      </c>
      <c r="E68" s="45">
        <v>0</v>
      </c>
      <c r="F68" s="45"/>
      <c r="G68" s="45">
        <f t="shared" si="2"/>
        <v>0</v>
      </c>
    </row>
    <row r="69" spans="1:7" ht="21">
      <c r="A69" s="38">
        <v>4</v>
      </c>
      <c r="B69" s="41" t="s">
        <v>67</v>
      </c>
      <c r="C69" s="172">
        <v>415004</v>
      </c>
      <c r="D69" s="45">
        <v>50000</v>
      </c>
      <c r="E69" s="45">
        <v>0</v>
      </c>
      <c r="F69" s="45"/>
      <c r="G69" s="45">
        <f>42000+3000+4000+5000+13000+29000+26500+900</f>
        <v>123400</v>
      </c>
    </row>
    <row r="70" spans="1:7" ht="21">
      <c r="A70" s="38">
        <v>5</v>
      </c>
      <c r="B70" s="41" t="s">
        <v>68</v>
      </c>
      <c r="C70" s="172">
        <v>415005</v>
      </c>
      <c r="D70" s="45">
        <v>0</v>
      </c>
      <c r="E70" s="45">
        <v>0</v>
      </c>
      <c r="F70" s="45"/>
      <c r="G70" s="45">
        <f t="shared" si="2"/>
        <v>0</v>
      </c>
    </row>
    <row r="71" spans="1:7" ht="21">
      <c r="A71" s="38">
        <v>6</v>
      </c>
      <c r="B71" s="41" t="s">
        <v>69</v>
      </c>
      <c r="C71" s="172">
        <v>415006</v>
      </c>
      <c r="D71" s="45">
        <v>0</v>
      </c>
      <c r="E71" s="45">
        <v>0</v>
      </c>
      <c r="F71" s="45"/>
      <c r="G71" s="45">
        <f t="shared" si="2"/>
        <v>0</v>
      </c>
    </row>
    <row r="72" spans="1:7" ht="21">
      <c r="A72" s="38">
        <v>7</v>
      </c>
      <c r="B72" s="41" t="s">
        <v>70</v>
      </c>
      <c r="C72" s="172">
        <v>415007</v>
      </c>
      <c r="D72" s="45">
        <v>1000</v>
      </c>
      <c r="E72" s="45">
        <v>0</v>
      </c>
      <c r="F72" s="45"/>
      <c r="G72" s="45">
        <f t="shared" si="2"/>
        <v>0</v>
      </c>
    </row>
    <row r="73" spans="1:7" ht="21">
      <c r="A73" s="38">
        <v>8</v>
      </c>
      <c r="B73" s="41" t="s">
        <v>71</v>
      </c>
      <c r="C73" s="172">
        <v>415008</v>
      </c>
      <c r="D73" s="45">
        <v>0</v>
      </c>
      <c r="E73" s="45">
        <v>0</v>
      </c>
      <c r="F73" s="45"/>
      <c r="G73" s="45">
        <f t="shared" si="2"/>
        <v>0</v>
      </c>
    </row>
    <row r="74" spans="1:7" ht="21">
      <c r="A74" s="46">
        <v>9</v>
      </c>
      <c r="B74" s="43" t="s">
        <v>72</v>
      </c>
      <c r="C74" s="175">
        <v>415999</v>
      </c>
      <c r="D74" s="47">
        <v>1000</v>
      </c>
      <c r="E74" s="45">
        <v>0</v>
      </c>
      <c r="F74" s="50"/>
      <c r="G74" s="50">
        <f>100+200+200+2240+200+3100+400</f>
        <v>6440</v>
      </c>
    </row>
    <row r="75" spans="1:7" ht="21" hidden="1">
      <c r="A75" s="552" t="s">
        <v>33</v>
      </c>
      <c r="B75" s="553"/>
      <c r="C75" s="163"/>
      <c r="D75" s="33"/>
      <c r="E75" s="33">
        <f>SUM(E66:E74)</f>
        <v>0</v>
      </c>
      <c r="F75" s="33">
        <f>SUM(F66:F74)</f>
        <v>0</v>
      </c>
      <c r="G75" s="34"/>
    </row>
    <row r="76" spans="1:8" s="189" customFormat="1" ht="21">
      <c r="A76" s="550" t="s">
        <v>33</v>
      </c>
      <c r="B76" s="551"/>
      <c r="C76" s="187"/>
      <c r="D76" s="33">
        <f>SUM(D66:D75)</f>
        <v>52000</v>
      </c>
      <c r="E76" s="33"/>
      <c r="F76" s="33"/>
      <c r="G76" s="34">
        <f>SUM(G66:G74)</f>
        <v>129840</v>
      </c>
      <c r="H76" s="188"/>
    </row>
    <row r="77" spans="1:7" ht="5.25" customHeight="1">
      <c r="A77" s="104"/>
      <c r="B77" s="105"/>
      <c r="C77" s="164"/>
      <c r="D77" s="35"/>
      <c r="E77" s="35"/>
      <c r="F77" s="35"/>
      <c r="G77" s="36"/>
    </row>
    <row r="78" spans="1:7" ht="21">
      <c r="A78" s="185" t="s">
        <v>73</v>
      </c>
      <c r="B78" s="55"/>
      <c r="C78" s="174">
        <v>416000</v>
      </c>
      <c r="D78" s="53"/>
      <c r="E78" s="53"/>
      <c r="F78" s="53"/>
      <c r="G78" s="36"/>
    </row>
    <row r="79" spans="1:7" ht="21">
      <c r="A79" s="46">
        <v>1</v>
      </c>
      <c r="B79" s="43" t="s">
        <v>74</v>
      </c>
      <c r="C79" s="175">
        <v>416001</v>
      </c>
      <c r="D79" s="47">
        <v>10000</v>
      </c>
      <c r="E79" s="47">
        <v>0</v>
      </c>
      <c r="F79" s="47"/>
      <c r="G79" s="47">
        <v>0</v>
      </c>
    </row>
    <row r="80" spans="1:7" ht="21" hidden="1">
      <c r="A80" s="552" t="s">
        <v>33</v>
      </c>
      <c r="B80" s="553"/>
      <c r="C80" s="163"/>
      <c r="D80" s="33"/>
      <c r="E80" s="33">
        <f>SUM(E79)</f>
        <v>0</v>
      </c>
      <c r="F80" s="33">
        <f>SUM(F79)</f>
        <v>0</v>
      </c>
      <c r="G80" s="34"/>
    </row>
    <row r="81" spans="1:8" s="189" customFormat="1" ht="21">
      <c r="A81" s="550" t="s">
        <v>33</v>
      </c>
      <c r="B81" s="551"/>
      <c r="C81" s="187"/>
      <c r="D81" s="33">
        <f>SUM(D79:D80)</f>
        <v>10000</v>
      </c>
      <c r="E81" s="33"/>
      <c r="F81" s="33"/>
      <c r="G81" s="34">
        <f>SUM(G79)</f>
        <v>0</v>
      </c>
      <c r="H81" s="188"/>
    </row>
    <row r="82" spans="1:7" ht="21">
      <c r="A82" s="185" t="s">
        <v>75</v>
      </c>
      <c r="B82" s="52"/>
      <c r="C82" s="177">
        <v>420000</v>
      </c>
      <c r="D82" s="53"/>
      <c r="E82" s="53"/>
      <c r="F82" s="53"/>
      <c r="G82" s="54"/>
    </row>
    <row r="83" spans="1:7" ht="21">
      <c r="A83" s="185" t="s">
        <v>76</v>
      </c>
      <c r="B83" s="55"/>
      <c r="C83" s="174">
        <v>421000</v>
      </c>
      <c r="D83" s="53"/>
      <c r="E83" s="53"/>
      <c r="F83" s="53"/>
      <c r="G83" s="54"/>
    </row>
    <row r="84" spans="1:7" ht="21">
      <c r="A84" s="56">
        <v>1</v>
      </c>
      <c r="B84" s="57" t="s">
        <v>155</v>
      </c>
      <c r="C84" s="178">
        <v>421001</v>
      </c>
      <c r="D84" s="25">
        <v>0</v>
      </c>
      <c r="E84" s="25">
        <v>211960.62</v>
      </c>
      <c r="F84" s="25"/>
      <c r="G84" s="25">
        <f>349410.03+211960.62</f>
        <v>561370.65</v>
      </c>
    </row>
    <row r="85" spans="1:7" ht="21">
      <c r="A85" s="56">
        <v>2</v>
      </c>
      <c r="B85" s="57" t="s">
        <v>77</v>
      </c>
      <c r="C85" s="178">
        <v>421004</v>
      </c>
      <c r="D85" s="25">
        <v>2900000</v>
      </c>
      <c r="E85" s="25">
        <v>271712.57</v>
      </c>
      <c r="F85" s="25"/>
      <c r="G85" s="25">
        <f>537225.53+224553.78+250007.42+303172.23+251934.3+521929.65+264116.38+559260.38+271712.57</f>
        <v>3183912.2399999998</v>
      </c>
    </row>
    <row r="86" spans="1:7" ht="21">
      <c r="A86" s="58">
        <v>3</v>
      </c>
      <c r="B86" s="59" t="s">
        <v>78</v>
      </c>
      <c r="C86" s="179">
        <v>421002</v>
      </c>
      <c r="D86" s="28">
        <v>7748000</v>
      </c>
      <c r="E86" s="28">
        <v>605317.85</v>
      </c>
      <c r="F86" s="25"/>
      <c r="G86" s="25">
        <f>180815.69+1268081.38+660406.2+1231409.21+3005275.28+722892+249798.91+605317.85</f>
        <v>7923996.52</v>
      </c>
    </row>
    <row r="87" spans="1:7" ht="21">
      <c r="A87" s="60">
        <v>4</v>
      </c>
      <c r="B87" s="61" t="s">
        <v>79</v>
      </c>
      <c r="C87" s="180">
        <v>421005</v>
      </c>
      <c r="D87" s="40">
        <v>80000</v>
      </c>
      <c r="E87" s="28">
        <v>31213.35</v>
      </c>
      <c r="F87" s="25"/>
      <c r="G87" s="25">
        <f>33083.56+36993.6+31367.49+33833.73+31213.35</f>
        <v>166491.73</v>
      </c>
    </row>
    <row r="88" spans="1:7" ht="21">
      <c r="A88" s="60">
        <v>5</v>
      </c>
      <c r="B88" s="61" t="s">
        <v>80</v>
      </c>
      <c r="C88" s="180">
        <v>421006</v>
      </c>
      <c r="D88" s="40">
        <v>1200000</v>
      </c>
      <c r="E88" s="28">
        <v>125047.15</v>
      </c>
      <c r="F88" s="25"/>
      <c r="G88" s="25">
        <f>109826.56+228994.46+109152.5+157896.15+123768.73+147249.02+313756.25+91645.39+217929.61+125047.15</f>
        <v>1625265.8199999998</v>
      </c>
    </row>
    <row r="89" spans="1:7" ht="21">
      <c r="A89" s="60">
        <v>6</v>
      </c>
      <c r="B89" s="61" t="s">
        <v>81</v>
      </c>
      <c r="C89" s="180">
        <v>421007</v>
      </c>
      <c r="D89" s="40">
        <v>2400000</v>
      </c>
      <c r="E89" s="28">
        <v>248598.43</v>
      </c>
      <c r="F89" s="25"/>
      <c r="G89" s="25">
        <f>162732.54+354533.65+130424.61+204352.99+251306.49+204857.27+527136.73+246967.88+468968.63+248598.43</f>
        <v>2799879.22</v>
      </c>
    </row>
    <row r="90" spans="1:7" ht="21">
      <c r="A90" s="26">
        <v>7</v>
      </c>
      <c r="B90" s="39" t="s">
        <v>82</v>
      </c>
      <c r="C90" s="171">
        <v>421008</v>
      </c>
      <c r="D90" s="40">
        <v>0</v>
      </c>
      <c r="E90" s="28">
        <v>0</v>
      </c>
      <c r="F90" s="25"/>
      <c r="G90" s="25">
        <f aca="true" t="shared" si="3" ref="G90:G99">+E90</f>
        <v>0</v>
      </c>
    </row>
    <row r="91" spans="1:7" ht="21">
      <c r="A91" s="26">
        <v>8</v>
      </c>
      <c r="B91" s="39" t="s">
        <v>83</v>
      </c>
      <c r="C91" s="171">
        <v>421009</v>
      </c>
      <c r="D91" s="40">
        <v>0</v>
      </c>
      <c r="E91" s="28">
        <v>0</v>
      </c>
      <c r="F91" s="25"/>
      <c r="G91" s="25">
        <f t="shared" si="3"/>
        <v>0</v>
      </c>
    </row>
    <row r="92" spans="1:7" ht="21">
      <c r="A92" s="26">
        <v>9</v>
      </c>
      <c r="B92" s="39" t="s">
        <v>84</v>
      </c>
      <c r="C92" s="171">
        <v>421010</v>
      </c>
      <c r="D92" s="40">
        <v>0</v>
      </c>
      <c r="E92" s="28">
        <v>0</v>
      </c>
      <c r="F92" s="25"/>
      <c r="G92" s="25">
        <f t="shared" si="3"/>
        <v>0</v>
      </c>
    </row>
    <row r="93" spans="1:7" ht="21">
      <c r="A93" s="26">
        <v>10</v>
      </c>
      <c r="B93" s="39" t="s">
        <v>85</v>
      </c>
      <c r="C93" s="171">
        <v>421011</v>
      </c>
      <c r="D93" s="40">
        <v>0</v>
      </c>
      <c r="E93" s="28">
        <v>0</v>
      </c>
      <c r="F93" s="25"/>
      <c r="G93" s="25">
        <f t="shared" si="3"/>
        <v>0</v>
      </c>
    </row>
    <row r="94" spans="1:7" ht="21">
      <c r="A94" s="26">
        <v>11</v>
      </c>
      <c r="B94" s="39" t="s">
        <v>86</v>
      </c>
      <c r="C94" s="171">
        <v>421012</v>
      </c>
      <c r="D94" s="40">
        <v>80000</v>
      </c>
      <c r="E94" s="28">
        <v>31008.87</v>
      </c>
      <c r="F94" s="25"/>
      <c r="G94" s="25">
        <f>71805.07+25769.64+28840.37+31008.87</f>
        <v>157423.95</v>
      </c>
    </row>
    <row r="95" spans="1:7" ht="21">
      <c r="A95" s="26">
        <v>12</v>
      </c>
      <c r="B95" s="39" t="s">
        <v>87</v>
      </c>
      <c r="C95" s="171">
        <v>421013</v>
      </c>
      <c r="D95" s="40">
        <v>100000</v>
      </c>
      <c r="E95" s="28">
        <v>0</v>
      </c>
      <c r="F95" s="25"/>
      <c r="G95" s="25">
        <f>26105.98+22228.61+18392.43+13625.27</f>
        <v>80352.29</v>
      </c>
    </row>
    <row r="96" spans="1:7" ht="21">
      <c r="A96" s="26">
        <v>13</v>
      </c>
      <c r="B96" s="39" t="s">
        <v>88</v>
      </c>
      <c r="C96" s="171">
        <v>421014</v>
      </c>
      <c r="D96" s="40">
        <v>0</v>
      </c>
      <c r="E96" s="28">
        <v>0</v>
      </c>
      <c r="F96" s="25"/>
      <c r="G96" s="25">
        <f t="shared" si="3"/>
        <v>0</v>
      </c>
    </row>
    <row r="97" spans="1:7" ht="21">
      <c r="A97" s="26">
        <v>14</v>
      </c>
      <c r="B97" s="39" t="s">
        <v>131</v>
      </c>
      <c r="C97" s="171">
        <v>421017</v>
      </c>
      <c r="D97" s="40">
        <v>1000</v>
      </c>
      <c r="E97" s="40">
        <v>0</v>
      </c>
      <c r="F97" s="30"/>
      <c r="G97" s="25">
        <f t="shared" si="3"/>
        <v>0</v>
      </c>
    </row>
    <row r="98" spans="1:7" ht="21">
      <c r="A98" s="26">
        <v>15</v>
      </c>
      <c r="B98" s="62" t="s">
        <v>89</v>
      </c>
      <c r="C98" s="181">
        <v>421015</v>
      </c>
      <c r="D98" s="63">
        <v>1200000</v>
      </c>
      <c r="E98" s="63">
        <v>74589</v>
      </c>
      <c r="F98" s="142"/>
      <c r="G98" s="25">
        <f>226295+118598+38905+232327+82439+123485+102538+68220+74589</f>
        <v>1067396</v>
      </c>
    </row>
    <row r="99" spans="1:7" ht="21">
      <c r="A99" s="26">
        <v>16</v>
      </c>
      <c r="B99" s="39" t="s">
        <v>90</v>
      </c>
      <c r="C99" s="171"/>
      <c r="D99" s="40">
        <v>0</v>
      </c>
      <c r="E99" s="63">
        <v>0</v>
      </c>
      <c r="F99" s="142"/>
      <c r="G99" s="25">
        <f t="shared" si="3"/>
        <v>0</v>
      </c>
    </row>
    <row r="100" spans="1:7" ht="21">
      <c r="A100" s="26">
        <v>17</v>
      </c>
      <c r="B100" s="39" t="s">
        <v>91</v>
      </c>
      <c r="C100" s="171">
        <v>421999</v>
      </c>
      <c r="D100" s="40">
        <v>1000</v>
      </c>
      <c r="E100" s="63">
        <v>38.8</v>
      </c>
      <c r="F100" s="63"/>
      <c r="G100" s="28">
        <f>19.4+38.8+135.8+388+504.4+116.4+97+38.8</f>
        <v>1338.6000000000001</v>
      </c>
    </row>
    <row r="101" spans="1:7" ht="11.25" customHeight="1">
      <c r="A101" s="64"/>
      <c r="B101" s="31"/>
      <c r="C101" s="182"/>
      <c r="D101" s="65"/>
      <c r="E101" s="66"/>
      <c r="F101" s="66"/>
      <c r="G101" s="32"/>
    </row>
    <row r="102" spans="1:7" ht="21" hidden="1">
      <c r="A102" s="552" t="s">
        <v>33</v>
      </c>
      <c r="B102" s="553"/>
      <c r="C102" s="163"/>
      <c r="D102" s="33"/>
      <c r="E102" s="33">
        <f>SUM(E84:E100)</f>
        <v>1599486.6400000001</v>
      </c>
      <c r="F102" s="33">
        <f>SUM(F84:F100)</f>
        <v>0</v>
      </c>
      <c r="G102" s="34"/>
    </row>
    <row r="103" spans="1:8" s="189" customFormat="1" ht="21">
      <c r="A103" s="550" t="s">
        <v>33</v>
      </c>
      <c r="B103" s="551"/>
      <c r="C103" s="187"/>
      <c r="D103" s="33">
        <f>SUM(D84:D102)</f>
        <v>15710000</v>
      </c>
      <c r="E103" s="33"/>
      <c r="F103" s="33"/>
      <c r="G103" s="34">
        <f>SUM(G84:G100)</f>
        <v>17567427.020000003</v>
      </c>
      <c r="H103" s="188"/>
    </row>
    <row r="104" spans="1:7" ht="21">
      <c r="A104" s="51" t="s">
        <v>92</v>
      </c>
      <c r="B104" s="22"/>
      <c r="C104" s="166">
        <v>431000</v>
      </c>
      <c r="D104" s="35"/>
      <c r="E104" s="35"/>
      <c r="F104" s="35"/>
      <c r="G104" s="36"/>
    </row>
    <row r="105" spans="1:7" ht="21.75" customHeight="1">
      <c r="A105" s="68">
        <v>1</v>
      </c>
      <c r="B105" s="152" t="s">
        <v>139</v>
      </c>
      <c r="C105" s="183">
        <v>431002</v>
      </c>
      <c r="D105" s="45"/>
      <c r="E105" s="40">
        <v>0</v>
      </c>
      <c r="F105" s="40"/>
      <c r="G105" s="154">
        <v>1055030</v>
      </c>
    </row>
    <row r="106" spans="1:7" ht="21">
      <c r="A106" s="106">
        <v>2</v>
      </c>
      <c r="B106" s="41" t="s">
        <v>145</v>
      </c>
      <c r="C106" s="183">
        <v>431002</v>
      </c>
      <c r="D106" s="45">
        <v>11000000</v>
      </c>
      <c r="E106" s="40">
        <v>0</v>
      </c>
      <c r="F106" s="40"/>
      <c r="G106" s="45">
        <f>3166980+1753561</f>
        <v>4920541</v>
      </c>
    </row>
    <row r="107" spans="1:7" ht="21">
      <c r="A107" s="106">
        <v>3</v>
      </c>
      <c r="B107" s="41" t="s">
        <v>141</v>
      </c>
      <c r="C107" s="183">
        <v>431002</v>
      </c>
      <c r="D107" s="45"/>
      <c r="E107" s="40">
        <v>0</v>
      </c>
      <c r="F107" s="40"/>
      <c r="G107" s="45">
        <f>10500+10500+10500+10500</f>
        <v>42000</v>
      </c>
    </row>
    <row r="108" spans="1:7" ht="21">
      <c r="A108" s="106">
        <v>4</v>
      </c>
      <c r="B108" s="41" t="s">
        <v>142</v>
      </c>
      <c r="C108" s="183">
        <v>431002</v>
      </c>
      <c r="D108" s="45"/>
      <c r="E108" s="40">
        <v>0</v>
      </c>
      <c r="F108" s="40"/>
      <c r="G108" s="45">
        <f>474005+474005+474005+468545</f>
        <v>1890560</v>
      </c>
    </row>
    <row r="109" spans="1:7" ht="21">
      <c r="A109" s="106">
        <v>5</v>
      </c>
      <c r="B109" s="41" t="s">
        <v>143</v>
      </c>
      <c r="C109" s="183">
        <v>431002</v>
      </c>
      <c r="D109" s="45"/>
      <c r="E109" s="40">
        <v>0</v>
      </c>
      <c r="F109" s="40"/>
      <c r="G109" s="45">
        <f>1082800+1082800+1082800+1070800</f>
        <v>4319200</v>
      </c>
    </row>
    <row r="110" spans="1:7" ht="21">
      <c r="A110" s="106">
        <v>6</v>
      </c>
      <c r="B110" s="41" t="s">
        <v>144</v>
      </c>
      <c r="C110" s="183">
        <v>431002</v>
      </c>
      <c r="D110" s="45"/>
      <c r="E110" s="40">
        <v>0</v>
      </c>
      <c r="F110" s="40"/>
      <c r="G110" s="45">
        <v>12000</v>
      </c>
    </row>
    <row r="111" spans="1:7" ht="21">
      <c r="A111" s="106">
        <v>7</v>
      </c>
      <c r="B111" s="41" t="s">
        <v>146</v>
      </c>
      <c r="C111" s="183">
        <v>431002</v>
      </c>
      <c r="D111" s="45"/>
      <c r="E111" s="40">
        <v>0</v>
      </c>
      <c r="F111" s="40"/>
      <c r="G111" s="45">
        <f>37500+37500+6708</f>
        <v>81708</v>
      </c>
    </row>
    <row r="112" spans="1:7" ht="21">
      <c r="A112" s="106">
        <v>8</v>
      </c>
      <c r="B112" s="41" t="s">
        <v>133</v>
      </c>
      <c r="C112" s="172">
        <v>441001</v>
      </c>
      <c r="D112" s="45"/>
      <c r="E112" s="40">
        <v>0</v>
      </c>
      <c r="F112" s="143">
        <v>-147900</v>
      </c>
      <c r="G112" s="45">
        <f>1984800+659500+659500+1319000+659500+650800+1969800-147900</f>
        <v>7755000</v>
      </c>
    </row>
    <row r="113" spans="1:7" ht="21">
      <c r="A113" s="106">
        <v>9</v>
      </c>
      <c r="B113" s="41" t="s">
        <v>134</v>
      </c>
      <c r="C113" s="172">
        <v>441001</v>
      </c>
      <c r="D113" s="45"/>
      <c r="E113" s="40">
        <v>240800</v>
      </c>
      <c r="F113" s="143">
        <v>-5600</v>
      </c>
      <c r="G113" s="45">
        <f>157500+177700+166400+83200+83200+80800+240800-5600</f>
        <v>984000</v>
      </c>
    </row>
    <row r="114" spans="1:7" ht="21">
      <c r="A114" s="106">
        <v>10</v>
      </c>
      <c r="B114" s="41" t="s">
        <v>135</v>
      </c>
      <c r="C114" s="172">
        <v>441001</v>
      </c>
      <c r="D114" s="45"/>
      <c r="E114" s="40">
        <v>140140</v>
      </c>
      <c r="F114" s="143">
        <v>-14034</v>
      </c>
      <c r="G114" s="45">
        <f>159300+159300+159300+3510+126085.94+140140-14034</f>
        <v>733601.94</v>
      </c>
    </row>
    <row r="115" spans="1:7" ht="21">
      <c r="A115" s="106">
        <v>11</v>
      </c>
      <c r="B115" s="41" t="s">
        <v>136</v>
      </c>
      <c r="C115" s="172">
        <v>441001</v>
      </c>
      <c r="D115" s="45"/>
      <c r="E115" s="40">
        <v>21800</v>
      </c>
      <c r="F115" s="40">
        <f>32700-382</f>
        <v>32318</v>
      </c>
      <c r="G115" s="40">
        <f>98100+32700+65400+98100+11282+21800+32318</f>
        <v>359700</v>
      </c>
    </row>
    <row r="116" spans="1:7" ht="21">
      <c r="A116" s="106">
        <v>12</v>
      </c>
      <c r="B116" s="41" t="s">
        <v>137</v>
      </c>
      <c r="C116" s="172">
        <v>441001</v>
      </c>
      <c r="D116" s="45"/>
      <c r="E116" s="40">
        <v>1090</v>
      </c>
      <c r="F116" s="40">
        <v>545</v>
      </c>
      <c r="G116" s="40">
        <f>4905+1635+3270+4905+545+1090+545</f>
        <v>16895</v>
      </c>
    </row>
    <row r="117" spans="1:7" ht="21">
      <c r="A117" s="106">
        <v>13</v>
      </c>
      <c r="B117" s="41" t="s">
        <v>138</v>
      </c>
      <c r="C117" s="172">
        <v>441001</v>
      </c>
      <c r="D117" s="45"/>
      <c r="E117" s="40">
        <v>0</v>
      </c>
      <c r="F117" s="40"/>
      <c r="G117" s="40">
        <f>107950+107950</f>
        <v>215900</v>
      </c>
    </row>
    <row r="118" spans="1:7" ht="21">
      <c r="A118" s="106">
        <v>14</v>
      </c>
      <c r="B118" s="41" t="s">
        <v>147</v>
      </c>
      <c r="C118" s="172">
        <v>441001</v>
      </c>
      <c r="D118" s="45"/>
      <c r="E118" s="40">
        <v>0</v>
      </c>
      <c r="F118" s="40"/>
      <c r="G118" s="45">
        <v>77000</v>
      </c>
    </row>
    <row r="119" spans="1:7" ht="21">
      <c r="A119" s="46"/>
      <c r="B119" s="48"/>
      <c r="C119" s="174"/>
      <c r="D119" s="65"/>
      <c r="E119" s="65"/>
      <c r="F119" s="44"/>
      <c r="G119" s="50"/>
    </row>
    <row r="120" spans="1:7" ht="21" hidden="1">
      <c r="A120" s="552" t="s">
        <v>33</v>
      </c>
      <c r="B120" s="553"/>
      <c r="C120" s="163"/>
      <c r="D120" s="33"/>
      <c r="E120" s="33">
        <f>SUM(E105:E119)</f>
        <v>403830</v>
      </c>
      <c r="F120" s="100">
        <f>SUM(F105:F118)</f>
        <v>-134671</v>
      </c>
      <c r="G120" s="34"/>
    </row>
    <row r="121" spans="1:8" s="189" customFormat="1" ht="21">
      <c r="A121" s="550" t="s">
        <v>33</v>
      </c>
      <c r="B121" s="551"/>
      <c r="C121" s="187"/>
      <c r="D121" s="33">
        <f>SUM(D105:D120)</f>
        <v>11000000</v>
      </c>
      <c r="E121" s="33"/>
      <c r="F121" s="33"/>
      <c r="G121" s="34">
        <f>SUM(G105:G119)</f>
        <v>22463135.94</v>
      </c>
      <c r="H121" s="188"/>
    </row>
    <row r="122" spans="1:8" ht="21">
      <c r="A122" s="67" t="s">
        <v>151</v>
      </c>
      <c r="B122" s="22"/>
      <c r="C122" s="166">
        <v>441000</v>
      </c>
      <c r="D122" s="123"/>
      <c r="E122" s="123"/>
      <c r="F122" s="123"/>
      <c r="G122" s="124"/>
      <c r="H122" s="125"/>
    </row>
    <row r="123" spans="1:7" ht="21">
      <c r="A123" s="106">
        <v>1</v>
      </c>
      <c r="B123" s="41" t="s">
        <v>150</v>
      </c>
      <c r="C123" s="172">
        <v>441001</v>
      </c>
      <c r="D123" s="45"/>
      <c r="E123" s="40">
        <v>0</v>
      </c>
      <c r="F123" s="40"/>
      <c r="G123" s="45">
        <f>456600+532700+532700</f>
        <v>1522000</v>
      </c>
    </row>
    <row r="124" spans="1:7" ht="21">
      <c r="A124" s="106">
        <v>2</v>
      </c>
      <c r="B124" s="41" t="s">
        <v>154</v>
      </c>
      <c r="C124" s="172">
        <v>441001</v>
      </c>
      <c r="D124" s="45"/>
      <c r="E124" s="40">
        <v>561000</v>
      </c>
      <c r="F124" s="40"/>
      <c r="G124" s="45">
        <f>1665000+1901000+561000</f>
        <v>4127000</v>
      </c>
    </row>
    <row r="125" spans="1:7" ht="21">
      <c r="A125" s="106">
        <v>3</v>
      </c>
      <c r="B125" s="41" t="s">
        <v>161</v>
      </c>
      <c r="C125" s="172">
        <v>441001</v>
      </c>
      <c r="D125" s="45"/>
      <c r="E125" s="40">
        <v>0</v>
      </c>
      <c r="F125" s="40">
        <v>898000</v>
      </c>
      <c r="G125" s="45">
        <v>898000</v>
      </c>
    </row>
    <row r="126" spans="1:8" ht="21">
      <c r="A126" s="126"/>
      <c r="B126" s="127"/>
      <c r="C126" s="184"/>
      <c r="D126" s="128"/>
      <c r="E126" s="97"/>
      <c r="F126" s="97"/>
      <c r="G126" s="129"/>
      <c r="H126" s="125"/>
    </row>
    <row r="127" spans="1:8" ht="21" hidden="1">
      <c r="A127" s="552" t="s">
        <v>33</v>
      </c>
      <c r="B127" s="553"/>
      <c r="C127" s="163"/>
      <c r="D127" s="130"/>
      <c r="E127" s="130">
        <f>SUM(E123:E126)</f>
        <v>561000</v>
      </c>
      <c r="F127" s="130">
        <f>SUM(F123:F125)</f>
        <v>898000</v>
      </c>
      <c r="G127" s="131"/>
      <c r="H127" s="125"/>
    </row>
    <row r="128" spans="1:8" s="189" customFormat="1" ht="21">
      <c r="A128" s="550" t="s">
        <v>33</v>
      </c>
      <c r="B128" s="551"/>
      <c r="C128" s="187"/>
      <c r="D128" s="130"/>
      <c r="E128" s="130"/>
      <c r="F128" s="130"/>
      <c r="G128" s="131">
        <f>SUM(G123:G127)</f>
        <v>6547000</v>
      </c>
      <c r="H128" s="190"/>
    </row>
    <row r="129" spans="1:9" s="189" customFormat="1" ht="21" hidden="1">
      <c r="A129" s="550" t="s">
        <v>93</v>
      </c>
      <c r="B129" s="551"/>
      <c r="C129" s="187"/>
      <c r="D129" s="33"/>
      <c r="E129" s="33">
        <f>+E15+E41+E52+E62+E75+E80+E102+E120+E127</f>
        <v>2692620.6100000003</v>
      </c>
      <c r="F129" s="33"/>
      <c r="G129" s="34"/>
      <c r="H129" s="188"/>
      <c r="I129" s="75"/>
    </row>
    <row r="130" spans="1:8" s="189" customFormat="1" ht="21">
      <c r="A130" s="550" t="s">
        <v>204</v>
      </c>
      <c r="B130" s="551"/>
      <c r="C130" s="187"/>
      <c r="D130" s="33">
        <f>+D16+D42+D53+D63+D76+D81+D103+D121</f>
        <v>28000000</v>
      </c>
      <c r="E130" s="33"/>
      <c r="F130" s="33">
        <f>+F15+F41+F52+F62+F75+F80+F102+F120+F127</f>
        <v>953447.02</v>
      </c>
      <c r="G130" s="34">
        <f>+G16+G42+G53+G63+G76+G81+G103+G121+G128</f>
        <v>48517647.190000005</v>
      </c>
      <c r="H130" s="188"/>
    </row>
    <row r="131" spans="5:7" ht="21">
      <c r="E131" s="75"/>
      <c r="F131" s="75"/>
      <c r="G131" s="69"/>
    </row>
    <row r="132" spans="5:7" ht="21">
      <c r="E132" s="70"/>
      <c r="F132" s="70"/>
      <c r="G132" s="70"/>
    </row>
    <row r="133" spans="3:8" s="145" customFormat="1" ht="21">
      <c r="C133" s="165"/>
      <c r="E133" s="144"/>
      <c r="G133" s="146"/>
      <c r="H133" s="1"/>
    </row>
    <row r="134" spans="3:8" s="145" customFormat="1" ht="21">
      <c r="C134" s="165"/>
      <c r="E134" s="146"/>
      <c r="F134" s="146"/>
      <c r="G134" s="146"/>
      <c r="H134" s="1"/>
    </row>
    <row r="135" spans="3:8" s="145" customFormat="1" ht="21">
      <c r="C135" s="165"/>
      <c r="G135" s="146"/>
      <c r="H135" s="1"/>
    </row>
    <row r="136" spans="3:8" s="145" customFormat="1" ht="21">
      <c r="C136" s="165"/>
      <c r="G136" s="146"/>
      <c r="H136" s="1"/>
    </row>
    <row r="137" spans="3:8" s="145" customFormat="1" ht="21">
      <c r="C137" s="165"/>
      <c r="G137" s="146"/>
      <c r="H137" s="1"/>
    </row>
    <row r="138" spans="3:8" s="145" customFormat="1" ht="21">
      <c r="C138" s="165"/>
      <c r="H138" s="1"/>
    </row>
    <row r="139" spans="3:8" s="145" customFormat="1" ht="21">
      <c r="C139" s="165"/>
      <c r="H139" s="1"/>
    </row>
    <row r="140" spans="3:8" s="145" customFormat="1" ht="21">
      <c r="C140" s="165"/>
      <c r="H140" s="1"/>
    </row>
    <row r="141" spans="3:8" s="145" customFormat="1" ht="21">
      <c r="C141" s="165"/>
      <c r="H141" s="1"/>
    </row>
    <row r="142" spans="3:8" s="145" customFormat="1" ht="21">
      <c r="C142" s="165"/>
      <c r="H142" s="1"/>
    </row>
    <row r="143" spans="3:8" s="145" customFormat="1" ht="21">
      <c r="C143" s="165"/>
      <c r="H143" s="1"/>
    </row>
    <row r="144" spans="3:8" s="145" customFormat="1" ht="21">
      <c r="C144" s="165"/>
      <c r="H144" s="1"/>
    </row>
    <row r="145" spans="3:8" s="145" customFormat="1" ht="21">
      <c r="C145" s="165"/>
      <c r="H145" s="1"/>
    </row>
    <row r="146" spans="3:8" s="145" customFormat="1" ht="21">
      <c r="C146" s="165"/>
      <c r="H146" s="1"/>
    </row>
    <row r="147" spans="3:8" s="145" customFormat="1" ht="21">
      <c r="C147" s="165"/>
      <c r="H147" s="1"/>
    </row>
    <row r="148" spans="3:8" s="145" customFormat="1" ht="21">
      <c r="C148" s="165"/>
      <c r="H148" s="1"/>
    </row>
  </sheetData>
  <sheetProtection/>
  <mergeCells count="24">
    <mergeCell ref="A1:G1"/>
    <mergeCell ref="A2:G2"/>
    <mergeCell ref="A3:G3"/>
    <mergeCell ref="A5:B5"/>
    <mergeCell ref="A15:B15"/>
    <mergeCell ref="A16:B16"/>
    <mergeCell ref="A42:B42"/>
    <mergeCell ref="A52:B52"/>
    <mergeCell ref="A41:B41"/>
    <mergeCell ref="A76:B76"/>
    <mergeCell ref="A80:B80"/>
    <mergeCell ref="A53:B53"/>
    <mergeCell ref="A62:B62"/>
    <mergeCell ref="A63:B63"/>
    <mergeCell ref="A75:B75"/>
    <mergeCell ref="A129:B129"/>
    <mergeCell ref="A130:B130"/>
    <mergeCell ref="A121:B121"/>
    <mergeCell ref="A103:B103"/>
    <mergeCell ref="A120:B120"/>
    <mergeCell ref="A81:B81"/>
    <mergeCell ref="A102:B102"/>
    <mergeCell ref="A127:B127"/>
    <mergeCell ref="A128:B128"/>
  </mergeCells>
  <printOptions/>
  <pageMargins left="0.51" right="0" top="0.34" bottom="0.19" header="0.16" footer="0.17"/>
  <pageSetup horizontalDpi="600" verticalDpi="600" orientation="portrait" paperSize="9" scale="8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N39"/>
  <sheetViews>
    <sheetView zoomScalePageLayoutView="0" workbookViewId="0" topLeftCell="A1">
      <pane xSplit="1" ySplit="7" topLeftCell="B8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42" sqref="D42"/>
    </sheetView>
  </sheetViews>
  <sheetFormatPr defaultColWidth="9.140625" defaultRowHeight="21.75" customHeight="1"/>
  <cols>
    <col min="1" max="1" width="30.00390625" style="263" customWidth="1"/>
    <col min="2" max="2" width="15.421875" style="263" customWidth="1"/>
    <col min="3" max="3" width="15.28125" style="263" customWidth="1"/>
    <col min="4" max="6" width="14.140625" style="263" customWidth="1"/>
    <col min="7" max="7" width="13.8515625" style="263" bestFit="1" customWidth="1"/>
    <col min="8" max="14" width="14.140625" style="263" customWidth="1"/>
    <col min="15" max="16384" width="9.140625" style="263" customWidth="1"/>
  </cols>
  <sheetData>
    <row r="1" spans="1:14" ht="21.7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21.75" customHeight="1">
      <c r="A2" s="593" t="s">
        <v>219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</row>
    <row r="3" spans="1:14" ht="21.75" customHeight="1">
      <c r="A3" s="593" t="s">
        <v>258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</row>
    <row r="4" spans="1:14" ht="10.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5"/>
    </row>
    <row r="5" spans="1:14" s="268" customFormat="1" ht="21.75" customHeight="1">
      <c r="A5" s="591" t="s">
        <v>2</v>
      </c>
      <c r="B5" s="591" t="s">
        <v>24</v>
      </c>
      <c r="C5" s="591" t="s">
        <v>33</v>
      </c>
      <c r="D5" s="591" t="s">
        <v>220</v>
      </c>
      <c r="E5" s="267" t="s">
        <v>221</v>
      </c>
      <c r="F5" s="591" t="s">
        <v>222</v>
      </c>
      <c r="G5" s="591" t="s">
        <v>223</v>
      </c>
      <c r="H5" s="591" t="s">
        <v>224</v>
      </c>
      <c r="I5" s="266" t="s">
        <v>225</v>
      </c>
      <c r="J5" s="267" t="s">
        <v>262</v>
      </c>
      <c r="K5" s="267" t="s">
        <v>227</v>
      </c>
      <c r="L5" s="591" t="s">
        <v>263</v>
      </c>
      <c r="M5" s="591" t="s">
        <v>264</v>
      </c>
      <c r="N5" s="591" t="s">
        <v>11</v>
      </c>
    </row>
    <row r="6" spans="1:14" s="268" customFormat="1" ht="21.75" customHeight="1">
      <c r="A6" s="592"/>
      <c r="B6" s="592"/>
      <c r="C6" s="592"/>
      <c r="D6" s="592"/>
      <c r="E6" s="269" t="s">
        <v>228</v>
      </c>
      <c r="F6" s="592"/>
      <c r="G6" s="592"/>
      <c r="H6" s="592"/>
      <c r="I6" s="270" t="s">
        <v>261</v>
      </c>
      <c r="J6" s="269" t="s">
        <v>229</v>
      </c>
      <c r="K6" s="269" t="s">
        <v>248</v>
      </c>
      <c r="L6" s="592"/>
      <c r="M6" s="592"/>
      <c r="N6" s="601"/>
    </row>
    <row r="7" spans="1:14" s="274" customFormat="1" ht="21.75" customHeight="1">
      <c r="A7" s="271" t="s">
        <v>103</v>
      </c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</row>
    <row r="8" spans="1:14" s="274" customFormat="1" ht="21.75" customHeight="1">
      <c r="A8" s="220" t="s">
        <v>288</v>
      </c>
      <c r="B8" s="276">
        <v>995625</v>
      </c>
      <c r="C8" s="275">
        <f aca="true" t="shared" si="0" ref="C8:C17">SUM(D8:N8)</f>
        <v>9495348.5</v>
      </c>
      <c r="D8" s="275">
        <f>+รับ!D8+อุดหนุน!D8</f>
        <v>0</v>
      </c>
      <c r="E8" s="275">
        <f>+รับ!E8+อุดหนุน!E8</f>
        <v>0</v>
      </c>
      <c r="F8" s="275">
        <f>+รับ!F8+อุดหนุน!F8</f>
        <v>0</v>
      </c>
      <c r="G8" s="275">
        <f>+รับ!G8+อุดหนุน!G8</f>
        <v>0</v>
      </c>
      <c r="H8" s="275">
        <f>+รับ!H8+อุดหนุน!H8</f>
        <v>0</v>
      </c>
      <c r="I8" s="275">
        <f>+รับ!I8+อุดหนุน!I8</f>
        <v>0</v>
      </c>
      <c r="J8" s="275">
        <f>+รับ!J8+อุดหนุน!J8</f>
        <v>0</v>
      </c>
      <c r="K8" s="275">
        <f>+รับ!K8+อุดหนุน!K8</f>
        <v>0</v>
      </c>
      <c r="L8" s="275">
        <f>+รับ!L8+อุดหนุน!L8</f>
        <v>0</v>
      </c>
      <c r="M8" s="275">
        <f>+รับ!M8+อุดหนุน!M8</f>
        <v>0</v>
      </c>
      <c r="N8" s="275">
        <f>+รับ!N8+อุดหนุน!N8</f>
        <v>9495348.5</v>
      </c>
    </row>
    <row r="9" spans="1:14" s="274" customFormat="1" ht="21.75" customHeight="1">
      <c r="A9" s="220" t="s">
        <v>105</v>
      </c>
      <c r="B9" s="276">
        <f>695520+120000+120000+198720+1490400</f>
        <v>2624640</v>
      </c>
      <c r="C9" s="275">
        <f t="shared" si="0"/>
        <v>2573134.84</v>
      </c>
      <c r="D9" s="275">
        <f>+รับ!D9+อุดหนุน!D9</f>
        <v>2573134.84</v>
      </c>
      <c r="E9" s="275">
        <f>+รับ!E9+อุดหนุน!E9</f>
        <v>0</v>
      </c>
      <c r="F9" s="275">
        <f>+รับ!F9+อุดหนุน!F9</f>
        <v>0</v>
      </c>
      <c r="G9" s="275">
        <f>+รับ!G9+อุดหนุน!G9</f>
        <v>0</v>
      </c>
      <c r="H9" s="275">
        <f>+รับ!H9+อุดหนุน!H9</f>
        <v>0</v>
      </c>
      <c r="I9" s="275">
        <f>+รับ!I9+อุดหนุน!I9</f>
        <v>0</v>
      </c>
      <c r="J9" s="275">
        <f>+รับ!J9+อุดหนุน!J9</f>
        <v>0</v>
      </c>
      <c r="K9" s="275">
        <f>+รับ!K9+อุดหนุน!K9</f>
        <v>0</v>
      </c>
      <c r="L9" s="275">
        <f>+รับ!L9+อุดหนุน!L9</f>
        <v>0</v>
      </c>
      <c r="M9" s="275">
        <f>+รับ!M9+อุดหนุน!M9</f>
        <v>0</v>
      </c>
      <c r="N9" s="275">
        <f>+รับ!N9+อุดหนุน!N9</f>
        <v>0</v>
      </c>
    </row>
    <row r="10" spans="1:14" s="274" customFormat="1" ht="21.75" customHeight="1">
      <c r="A10" s="220" t="s">
        <v>289</v>
      </c>
      <c r="B10" s="276">
        <f>7282760+342760+2442315-2624640</f>
        <v>7443195</v>
      </c>
      <c r="C10" s="275">
        <f t="shared" si="0"/>
        <v>7079855.49</v>
      </c>
      <c r="D10" s="275">
        <f>+รับ!D10+อุดหนุน!D10</f>
        <v>5173790.04</v>
      </c>
      <c r="E10" s="275">
        <f>+รับ!E10+อุดหนุน!E10</f>
        <v>0</v>
      </c>
      <c r="F10" s="275">
        <f>+รับ!F10+อุดหนุน!F10</f>
        <v>1093301.94</v>
      </c>
      <c r="G10" s="275">
        <f>+รับ!G10+อุดหนุน!G10</f>
        <v>0</v>
      </c>
      <c r="H10" s="275">
        <f>+รับ!H10+อุดหนุน!H10</f>
        <v>812763.51</v>
      </c>
      <c r="I10" s="275">
        <f>+รับ!I10+อุดหนุน!I10</f>
        <v>0</v>
      </c>
      <c r="J10" s="275">
        <f>+รับ!J10+อุดหนุน!J10</f>
        <v>0</v>
      </c>
      <c r="K10" s="275">
        <f>+รับ!K10+อุดหนุน!K10</f>
        <v>0</v>
      </c>
      <c r="L10" s="275">
        <f>+รับ!L10+อุดหนุน!L10</f>
        <v>0</v>
      </c>
      <c r="M10" s="275">
        <f>+รับ!M10+อุดหนุน!M10</f>
        <v>0</v>
      </c>
      <c r="N10" s="275">
        <f>+รับ!N10+อุดหนุน!N10</f>
        <v>0</v>
      </c>
    </row>
    <row r="11" spans="1:14" s="274" customFormat="1" ht="21.75" customHeight="1">
      <c r="A11" s="220" t="s">
        <v>12</v>
      </c>
      <c r="B11" s="276">
        <v>350000</v>
      </c>
      <c r="C11" s="275">
        <f t="shared" si="0"/>
        <v>148173</v>
      </c>
      <c r="D11" s="275">
        <f>+รับ!D11+อุดหนุน!D11</f>
        <v>142923</v>
      </c>
      <c r="E11" s="275">
        <f>+รับ!E11+อุดหนุน!E11</f>
        <v>0</v>
      </c>
      <c r="F11" s="275">
        <f>+รับ!F11+อุดหนุน!F11</f>
        <v>0</v>
      </c>
      <c r="G11" s="275">
        <f>+รับ!G11+อุดหนุน!G11</f>
        <v>0</v>
      </c>
      <c r="H11" s="275">
        <f>+รับ!H11+อุดหนุน!H11</f>
        <v>5250</v>
      </c>
      <c r="I11" s="275">
        <f>+รับ!I11+อุดหนุน!I11</f>
        <v>0</v>
      </c>
      <c r="J11" s="275">
        <f>+รับ!J11+อุดหนุน!J11</f>
        <v>0</v>
      </c>
      <c r="K11" s="275">
        <f>+รับ!K11+อุดหนุน!K11</f>
        <v>0</v>
      </c>
      <c r="L11" s="275">
        <f>+รับ!L11+อุดหนุน!L11</f>
        <v>0</v>
      </c>
      <c r="M11" s="275">
        <f>+รับ!M11+อุดหนุน!M11</f>
        <v>0</v>
      </c>
      <c r="N11" s="275">
        <f>+รับ!N11+อุดหนุน!N11</f>
        <v>0</v>
      </c>
    </row>
    <row r="12" spans="1:14" s="274" customFormat="1" ht="21.75" customHeight="1">
      <c r="A12" s="220" t="s">
        <v>230</v>
      </c>
      <c r="B12" s="276">
        <v>3919850</v>
      </c>
      <c r="C12" s="275">
        <f t="shared" si="0"/>
        <v>2300143.06</v>
      </c>
      <c r="D12" s="275">
        <f>+รับ!D12+อุดหนุน!D12</f>
        <v>978083.65</v>
      </c>
      <c r="E12" s="275">
        <f>+รับ!E12+อุดหนุน!E12</f>
        <v>9561</v>
      </c>
      <c r="F12" s="275">
        <f>+รับ!F12+อุดหนุน!F12</f>
        <v>571299.25</v>
      </c>
      <c r="G12" s="275">
        <f>+รับ!G12+อุดหนุน!G12</f>
        <v>0</v>
      </c>
      <c r="H12" s="275">
        <f>+รับ!H12+อุดหนุน!H12</f>
        <v>398689.16000000003</v>
      </c>
      <c r="I12" s="275">
        <f>+รับ!I12+อุดหนุน!I12</f>
        <v>106989</v>
      </c>
      <c r="J12" s="275">
        <f>+รับ!J12+อุดหนุน!J12</f>
        <v>216981</v>
      </c>
      <c r="K12" s="275">
        <f>+รับ!K12+อุดหนุน!K12</f>
        <v>0</v>
      </c>
      <c r="L12" s="275">
        <f>+รับ!L12+อุดหนุน!L12</f>
        <v>9975</v>
      </c>
      <c r="M12" s="275">
        <f>+รับ!M12+อุดหนุน!M12</f>
        <v>8565</v>
      </c>
      <c r="N12" s="275">
        <f>+รับ!N12+อุดหนุน!N12</f>
        <v>0</v>
      </c>
    </row>
    <row r="13" spans="1:14" s="274" customFormat="1" ht="21.75" customHeight="1">
      <c r="A13" s="220" t="s">
        <v>231</v>
      </c>
      <c r="B13" s="276">
        <v>3589490</v>
      </c>
      <c r="C13" s="275">
        <f t="shared" si="0"/>
        <v>3284929.92</v>
      </c>
      <c r="D13" s="275">
        <f>+รับ!D13+อุดหนุน!D13</f>
        <v>512514.23999999993</v>
      </c>
      <c r="E13" s="275">
        <f>+รับ!E13+อุดหนุน!E13</f>
        <v>0</v>
      </c>
      <c r="F13" s="275">
        <f>+รับ!F13+อุดหนุน!F13</f>
        <v>2093342.54</v>
      </c>
      <c r="G13" s="275">
        <f>+รับ!G13+อุดหนุน!G13</f>
        <v>181550</v>
      </c>
      <c r="H13" s="275">
        <f>+รับ!H13+อุดหนุน!H13</f>
        <v>358728.14</v>
      </c>
      <c r="I13" s="275">
        <f>+รับ!I13+อุดหนุน!I13</f>
        <v>0</v>
      </c>
      <c r="J13" s="275">
        <f>+รับ!J13+อุดหนุน!J13</f>
        <v>96184</v>
      </c>
      <c r="K13" s="275">
        <f>+รับ!K13+อุดหนุน!K13</f>
        <v>0</v>
      </c>
      <c r="L13" s="275">
        <f>+รับ!L13+อุดหนุน!L13</f>
        <v>2520</v>
      </c>
      <c r="M13" s="275">
        <f>+รับ!M13+อุดหนุน!M13</f>
        <v>40091</v>
      </c>
      <c r="N13" s="275">
        <f>+รับ!N13+อุดหนุน!N13</f>
        <v>0</v>
      </c>
    </row>
    <row r="14" spans="1:14" s="274" customFormat="1" ht="21.75" customHeight="1">
      <c r="A14" s="220" t="s">
        <v>15</v>
      </c>
      <c r="B14" s="276">
        <v>960000</v>
      </c>
      <c r="C14" s="275">
        <f t="shared" si="0"/>
        <v>880674.62</v>
      </c>
      <c r="D14" s="275">
        <f>+รับ!D14+อุดหนุน!D14</f>
        <v>238530.00999999998</v>
      </c>
      <c r="E14" s="275">
        <f>+รับ!E14+อุดหนุน!E14</f>
        <v>0</v>
      </c>
      <c r="F14" s="275">
        <f>+รับ!F14+อุดหนุน!F14</f>
        <v>0</v>
      </c>
      <c r="G14" s="275">
        <f>+รับ!G14+อุดหนุน!G14</f>
        <v>0</v>
      </c>
      <c r="H14" s="275">
        <f>+รับ!H14+อุดหนุน!H14</f>
        <v>0</v>
      </c>
      <c r="I14" s="275">
        <f>+รับ!I14+อุดหนุน!I14</f>
        <v>0</v>
      </c>
      <c r="J14" s="275">
        <f>+รับ!J14+อุดหนุน!J14</f>
        <v>0</v>
      </c>
      <c r="K14" s="275">
        <f>+รับ!K14+อุดหนุน!K14</f>
        <v>0</v>
      </c>
      <c r="L14" s="275">
        <f>+รับ!L14+อุดหนุน!L14</f>
        <v>0</v>
      </c>
      <c r="M14" s="275">
        <f>+รับ!M14+อุดหนุน!M14</f>
        <v>642144.61</v>
      </c>
      <c r="N14" s="275">
        <f>+รับ!N14+อุดหนุน!N14</f>
        <v>0</v>
      </c>
    </row>
    <row r="15" spans="1:14" s="274" customFormat="1" ht="21.75" customHeight="1">
      <c r="A15" s="220" t="s">
        <v>290</v>
      </c>
      <c r="B15" s="276">
        <v>933000</v>
      </c>
      <c r="C15" s="275">
        <f t="shared" si="0"/>
        <v>1669156.55</v>
      </c>
      <c r="D15" s="275">
        <f>+รับ!D15+อุดหนุน!D15</f>
        <v>129206.55</v>
      </c>
      <c r="E15" s="275">
        <f>+รับ!E15+อุดหนุน!E15</f>
        <v>898000</v>
      </c>
      <c r="F15" s="275">
        <f>+รับ!F15+อุดหนุน!F15</f>
        <v>0</v>
      </c>
      <c r="G15" s="275">
        <f>+รับ!G15+อุดหนุน!G15</f>
        <v>0</v>
      </c>
      <c r="H15" s="275">
        <f>+รับ!H15+อุดหนุน!H15</f>
        <v>632470</v>
      </c>
      <c r="I15" s="275">
        <f>+รับ!I15+อุดหนุน!I15</f>
        <v>0</v>
      </c>
      <c r="J15" s="275">
        <f>+รับ!J15+อุดหนุน!J15</f>
        <v>0</v>
      </c>
      <c r="K15" s="275">
        <f>+รับ!K15+อุดหนุน!K15</f>
        <v>0</v>
      </c>
      <c r="L15" s="275">
        <f>+รับ!L15+อุดหนุน!L15</f>
        <v>0</v>
      </c>
      <c r="M15" s="275">
        <f>+รับ!M15+อุดหนุน!M15</f>
        <v>9480</v>
      </c>
      <c r="N15" s="275">
        <f>+รับ!N15+อุดหนุน!N15</f>
        <v>0</v>
      </c>
    </row>
    <row r="16" spans="1:14" s="274" customFormat="1" ht="21.75" customHeight="1">
      <c r="A16" s="220" t="s">
        <v>291</v>
      </c>
      <c r="B16" s="276">
        <v>3359200</v>
      </c>
      <c r="C16" s="275">
        <f t="shared" si="0"/>
        <v>9910700</v>
      </c>
      <c r="D16" s="275">
        <f>+รับ!D16+อุดหนุน!D16</f>
        <v>0</v>
      </c>
      <c r="E16" s="275">
        <f>+รับ!E16+อุดหนุน!E16</f>
        <v>0</v>
      </c>
      <c r="F16" s="275">
        <f>+รับ!F16+อุดหนุน!F16</f>
        <v>0</v>
      </c>
      <c r="G16" s="275">
        <f>+รับ!G16+อุดหนุน!G16</f>
        <v>0</v>
      </c>
      <c r="H16" s="275">
        <f>+รับ!H16+อุดหนุน!H16</f>
        <v>0</v>
      </c>
      <c r="I16" s="275">
        <f>+รับ!I16+อุดหนุน!I16</f>
        <v>0</v>
      </c>
      <c r="J16" s="275">
        <f>+รับ!J16+อุดหนุน!J16</f>
        <v>0</v>
      </c>
      <c r="K16" s="275">
        <f>+รับ!K16+อุดหนุน!K16</f>
        <v>9910700</v>
      </c>
      <c r="L16" s="275">
        <f>+รับ!L16+อุดหนุน!L16</f>
        <v>0</v>
      </c>
      <c r="M16" s="275">
        <f>+รับ!M16+อุดหนุน!M16</f>
        <v>0</v>
      </c>
      <c r="N16" s="275">
        <f>+รับ!N16+อุดหนุน!N16</f>
        <v>0</v>
      </c>
    </row>
    <row r="17" spans="1:14" s="274" customFormat="1" ht="21.75" customHeight="1">
      <c r="A17" s="218" t="s">
        <v>16</v>
      </c>
      <c r="B17" s="278">
        <v>3825000</v>
      </c>
      <c r="C17" s="275">
        <f t="shared" si="0"/>
        <v>3728700</v>
      </c>
      <c r="D17" s="275">
        <f>+รับ!D17+อุดหนุน!D17</f>
        <v>0</v>
      </c>
      <c r="E17" s="275">
        <f>+รับ!E17+อุดหนุน!E17</f>
        <v>0</v>
      </c>
      <c r="F17" s="275">
        <f>+รับ!F17+อุดหนุน!F17</f>
        <v>3612000</v>
      </c>
      <c r="G17" s="275">
        <f>+รับ!G17+อุดหนุน!G17</f>
        <v>81700</v>
      </c>
      <c r="H17" s="275">
        <f>+รับ!H17+อุดหนุน!H17</f>
        <v>0</v>
      </c>
      <c r="I17" s="275">
        <f>+รับ!I17+อุดหนุน!I17</f>
        <v>10000</v>
      </c>
      <c r="J17" s="275">
        <f>+รับ!J17+อุดหนุน!J17</f>
        <v>25000</v>
      </c>
      <c r="K17" s="275">
        <f>+รับ!K17+อุดหนุน!K17</f>
        <v>0</v>
      </c>
      <c r="L17" s="275">
        <f>+รับ!L17+อุดหนุน!L17</f>
        <v>0</v>
      </c>
      <c r="M17" s="275">
        <f>+รับ!M17+อุดหนุน!M17</f>
        <v>0</v>
      </c>
      <c r="N17" s="275">
        <f>+รับ!N17+อุดหนุน!N17</f>
        <v>0</v>
      </c>
    </row>
    <row r="18" spans="1:14" s="274" customFormat="1" ht="21.75" customHeight="1">
      <c r="A18" s="273"/>
      <c r="B18" s="272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</row>
    <row r="19" spans="1:14" s="281" customFormat="1" ht="21.75" customHeight="1" thickBot="1">
      <c r="A19" s="279" t="s">
        <v>33</v>
      </c>
      <c r="B19" s="280">
        <f>SUM(B8:B18)</f>
        <v>28000000</v>
      </c>
      <c r="C19" s="302">
        <f>SUM(C8:C18)</f>
        <v>41070815.98</v>
      </c>
      <c r="D19" s="280">
        <f>SUM(D8:D18)</f>
        <v>9748182.33</v>
      </c>
      <c r="E19" s="280">
        <f>SUM(E8:E17)</f>
        <v>907561</v>
      </c>
      <c r="F19" s="280">
        <f aca="true" t="shared" si="1" ref="F19:N19">SUM(F8:F17)</f>
        <v>7369943.73</v>
      </c>
      <c r="G19" s="280">
        <f t="shared" si="1"/>
        <v>263250</v>
      </c>
      <c r="H19" s="280">
        <f t="shared" si="1"/>
        <v>2207900.81</v>
      </c>
      <c r="I19" s="280">
        <f t="shared" si="1"/>
        <v>116989</v>
      </c>
      <c r="J19" s="280">
        <f>SUM(J8:J17)</f>
        <v>338165</v>
      </c>
      <c r="K19" s="280">
        <f t="shared" si="1"/>
        <v>9910700</v>
      </c>
      <c r="L19" s="280">
        <f t="shared" si="1"/>
        <v>12495</v>
      </c>
      <c r="M19" s="280">
        <f t="shared" si="1"/>
        <v>700280.61</v>
      </c>
      <c r="N19" s="280">
        <f t="shared" si="1"/>
        <v>9495348.5</v>
      </c>
    </row>
    <row r="20" spans="1:14" s="274" customFormat="1" ht="21.75" customHeight="1" thickTop="1">
      <c r="A20" s="28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</row>
    <row r="21" spans="1:14" s="289" customFormat="1" ht="21.75" customHeight="1">
      <c r="A21" s="284" t="s">
        <v>104</v>
      </c>
      <c r="B21" s="285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</row>
    <row r="22" spans="1:14" s="289" customFormat="1" ht="21.75" customHeight="1">
      <c r="A22" s="288" t="s">
        <v>97</v>
      </c>
      <c r="B22" s="288">
        <v>240000</v>
      </c>
      <c r="C22" s="288">
        <v>312307.52</v>
      </c>
      <c r="D22" s="287">
        <v>0</v>
      </c>
      <c r="E22" s="287">
        <v>0</v>
      </c>
      <c r="F22" s="287">
        <v>0</v>
      </c>
      <c r="G22" s="287">
        <v>0</v>
      </c>
      <c r="H22" s="287">
        <v>0</v>
      </c>
      <c r="I22" s="287">
        <v>0</v>
      </c>
      <c r="J22" s="287">
        <v>0</v>
      </c>
      <c r="K22" s="287">
        <v>0</v>
      </c>
      <c r="L22" s="287">
        <v>0</v>
      </c>
      <c r="M22" s="287">
        <v>0</v>
      </c>
      <c r="N22" s="287">
        <v>0</v>
      </c>
    </row>
    <row r="23" spans="1:14" s="289" customFormat="1" ht="21.75" customHeight="1">
      <c r="A23" s="288" t="s">
        <v>98</v>
      </c>
      <c r="B23" s="288">
        <v>137000</v>
      </c>
      <c r="C23" s="288">
        <v>234427.5</v>
      </c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287">
        <v>0</v>
      </c>
      <c r="L23" s="287">
        <v>0</v>
      </c>
      <c r="M23" s="287">
        <v>0</v>
      </c>
      <c r="N23" s="287">
        <v>0</v>
      </c>
    </row>
    <row r="24" spans="1:14" s="289" customFormat="1" ht="21.75" customHeight="1">
      <c r="A24" s="288" t="s">
        <v>232</v>
      </c>
      <c r="B24" s="288">
        <v>410000</v>
      </c>
      <c r="C24" s="288">
        <v>849064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  <c r="I24" s="287">
        <v>0</v>
      </c>
      <c r="J24" s="287">
        <v>0</v>
      </c>
      <c r="K24" s="287">
        <v>0</v>
      </c>
      <c r="L24" s="287">
        <v>0</v>
      </c>
      <c r="M24" s="287">
        <v>0</v>
      </c>
      <c r="N24" s="287">
        <v>0</v>
      </c>
    </row>
    <row r="25" spans="1:14" s="289" customFormat="1" ht="21.75" customHeight="1">
      <c r="A25" s="288" t="s">
        <v>99</v>
      </c>
      <c r="B25" s="288">
        <v>441000</v>
      </c>
      <c r="C25" s="288">
        <v>414445.21</v>
      </c>
      <c r="D25" s="287">
        <v>0</v>
      </c>
      <c r="E25" s="287">
        <v>0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  <c r="N25" s="287">
        <v>0</v>
      </c>
    </row>
    <row r="26" spans="1:14" s="289" customFormat="1" ht="21.75" customHeight="1">
      <c r="A26" s="288" t="s">
        <v>100</v>
      </c>
      <c r="B26" s="288">
        <v>52000</v>
      </c>
      <c r="C26" s="288">
        <v>129840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0</v>
      </c>
      <c r="L26" s="287">
        <v>0</v>
      </c>
      <c r="M26" s="287">
        <v>0</v>
      </c>
      <c r="N26" s="287">
        <v>0</v>
      </c>
    </row>
    <row r="27" spans="1:14" s="289" customFormat="1" ht="21.75" customHeight="1">
      <c r="A27" s="288" t="s">
        <v>101</v>
      </c>
      <c r="B27" s="288">
        <v>10000</v>
      </c>
      <c r="C27" s="288">
        <v>0</v>
      </c>
      <c r="D27" s="287">
        <v>0</v>
      </c>
      <c r="E27" s="287">
        <v>0</v>
      </c>
      <c r="F27" s="287">
        <v>0</v>
      </c>
      <c r="G27" s="287">
        <v>0</v>
      </c>
      <c r="H27" s="287">
        <v>0</v>
      </c>
      <c r="I27" s="287">
        <v>0</v>
      </c>
      <c r="J27" s="287">
        <v>0</v>
      </c>
      <c r="K27" s="287">
        <v>0</v>
      </c>
      <c r="L27" s="287">
        <v>0</v>
      </c>
      <c r="M27" s="287">
        <v>0</v>
      </c>
      <c r="N27" s="287">
        <v>0</v>
      </c>
    </row>
    <row r="28" spans="1:14" s="289" customFormat="1" ht="21.75" customHeight="1">
      <c r="A28" s="288" t="s">
        <v>233</v>
      </c>
      <c r="B28" s="288">
        <v>15710000</v>
      </c>
      <c r="C28" s="288">
        <v>17567427.02</v>
      </c>
      <c r="D28" s="287">
        <v>0</v>
      </c>
      <c r="E28" s="287">
        <v>0</v>
      </c>
      <c r="F28" s="287">
        <v>0</v>
      </c>
      <c r="G28" s="287">
        <v>0</v>
      </c>
      <c r="H28" s="287">
        <v>0</v>
      </c>
      <c r="I28" s="287">
        <v>0</v>
      </c>
      <c r="J28" s="287">
        <v>0</v>
      </c>
      <c r="K28" s="287">
        <v>0</v>
      </c>
      <c r="L28" s="287">
        <v>0</v>
      </c>
      <c r="M28" s="287">
        <v>0</v>
      </c>
      <c r="N28" s="287">
        <v>0</v>
      </c>
    </row>
    <row r="29" spans="1:14" s="289" customFormat="1" ht="21.75" customHeight="1">
      <c r="A29" s="288" t="s">
        <v>292</v>
      </c>
      <c r="B29" s="288">
        <v>11000000</v>
      </c>
      <c r="C29" s="288">
        <f>4920541+42000+1890560+4319200+12000+81708</f>
        <v>11266009</v>
      </c>
      <c r="D29" s="287">
        <v>0</v>
      </c>
      <c r="E29" s="287">
        <v>0</v>
      </c>
      <c r="F29" s="287">
        <v>0</v>
      </c>
      <c r="G29" s="287">
        <v>0</v>
      </c>
      <c r="H29" s="287">
        <v>0</v>
      </c>
      <c r="I29" s="287">
        <v>0</v>
      </c>
      <c r="J29" s="287">
        <v>0</v>
      </c>
      <c r="K29" s="287">
        <v>0</v>
      </c>
      <c r="L29" s="287">
        <v>0</v>
      </c>
      <c r="M29" s="287">
        <v>0</v>
      </c>
      <c r="N29" s="287">
        <v>0</v>
      </c>
    </row>
    <row r="30" spans="1:14" s="289" customFormat="1" ht="21.75" customHeight="1">
      <c r="A30" s="288" t="s">
        <v>140</v>
      </c>
      <c r="B30" s="290">
        <v>0</v>
      </c>
      <c r="C30" s="291">
        <v>1055030</v>
      </c>
      <c r="D30" s="287">
        <v>0</v>
      </c>
      <c r="E30" s="287">
        <v>0</v>
      </c>
      <c r="F30" s="287">
        <v>0</v>
      </c>
      <c r="G30" s="287">
        <v>0</v>
      </c>
      <c r="H30" s="287">
        <v>0</v>
      </c>
      <c r="I30" s="287">
        <v>0</v>
      </c>
      <c r="J30" s="287">
        <v>0</v>
      </c>
      <c r="K30" s="287">
        <v>0</v>
      </c>
      <c r="L30" s="287">
        <v>0</v>
      </c>
      <c r="M30" s="287">
        <v>0</v>
      </c>
      <c r="N30" s="287">
        <v>0</v>
      </c>
    </row>
    <row r="31" spans="1:14" s="289" customFormat="1" ht="21.75" customHeight="1">
      <c r="A31" s="288" t="s">
        <v>259</v>
      </c>
      <c r="B31" s="290">
        <v>0</v>
      </c>
      <c r="C31" s="291">
        <f>7755000+984000+733601.94+359700+16895+215900+77000</f>
        <v>10142096.94</v>
      </c>
      <c r="D31" s="287">
        <v>0</v>
      </c>
      <c r="E31" s="287">
        <v>0</v>
      </c>
      <c r="F31" s="287">
        <v>0</v>
      </c>
      <c r="G31" s="287">
        <v>0</v>
      </c>
      <c r="H31" s="287">
        <v>0</v>
      </c>
      <c r="I31" s="287">
        <v>0</v>
      </c>
      <c r="J31" s="287">
        <v>0</v>
      </c>
      <c r="K31" s="287">
        <v>0</v>
      </c>
      <c r="L31" s="287">
        <v>0</v>
      </c>
      <c r="M31" s="287">
        <v>0</v>
      </c>
      <c r="N31" s="287">
        <v>0</v>
      </c>
    </row>
    <row r="32" spans="1:14" s="289" customFormat="1" ht="21.75" customHeight="1">
      <c r="A32" s="292" t="s">
        <v>148</v>
      </c>
      <c r="B32" s="293">
        <v>0</v>
      </c>
      <c r="C32" s="294">
        <v>6547000</v>
      </c>
      <c r="D32" s="287">
        <v>0</v>
      </c>
      <c r="E32" s="287">
        <v>0</v>
      </c>
      <c r="F32" s="287">
        <v>0</v>
      </c>
      <c r="G32" s="287">
        <v>0</v>
      </c>
      <c r="H32" s="287">
        <v>0</v>
      </c>
      <c r="I32" s="287">
        <v>0</v>
      </c>
      <c r="J32" s="287">
        <v>0</v>
      </c>
      <c r="K32" s="287">
        <v>0</v>
      </c>
      <c r="L32" s="287">
        <v>0</v>
      </c>
      <c r="M32" s="287">
        <v>0</v>
      </c>
      <c r="N32" s="287">
        <v>0</v>
      </c>
    </row>
    <row r="33" spans="1:14" s="289" customFormat="1" ht="21.75" customHeight="1" thickBot="1">
      <c r="A33" s="295" t="s">
        <v>102</v>
      </c>
      <c r="B33" s="296">
        <f>SUM(B22:B32)</f>
        <v>28000000</v>
      </c>
      <c r="C33" s="297">
        <f>SUM(C22:C32)</f>
        <v>48517647.19</v>
      </c>
      <c r="D33" s="296">
        <f>SUM(D22:D32)</f>
        <v>0</v>
      </c>
      <c r="E33" s="296">
        <f aca="true" t="shared" si="2" ref="E33:N33">SUM(E22:E32)</f>
        <v>0</v>
      </c>
      <c r="F33" s="296">
        <f t="shared" si="2"/>
        <v>0</v>
      </c>
      <c r="G33" s="296">
        <f t="shared" si="2"/>
        <v>0</v>
      </c>
      <c r="H33" s="296">
        <f t="shared" si="2"/>
        <v>0</v>
      </c>
      <c r="I33" s="296">
        <f t="shared" si="2"/>
        <v>0</v>
      </c>
      <c r="J33" s="296">
        <f t="shared" si="2"/>
        <v>0</v>
      </c>
      <c r="K33" s="296">
        <f t="shared" si="2"/>
        <v>0</v>
      </c>
      <c r="L33" s="296">
        <f t="shared" si="2"/>
        <v>0</v>
      </c>
      <c r="M33" s="296">
        <f t="shared" si="2"/>
        <v>0</v>
      </c>
      <c r="N33" s="297">
        <f t="shared" si="2"/>
        <v>0</v>
      </c>
    </row>
    <row r="34" spans="1:8" s="289" customFormat="1" ht="21.75" customHeight="1" thickBot="1" thickTop="1">
      <c r="A34" s="289" t="s">
        <v>234</v>
      </c>
      <c r="C34" s="298">
        <f>+C33-C19</f>
        <v>7446831.210000001</v>
      </c>
      <c r="D34" s="299"/>
      <c r="F34" s="299"/>
      <c r="H34" s="300"/>
    </row>
    <row r="35" spans="3:8" s="289" customFormat="1" ht="21.75" customHeight="1" thickTop="1">
      <c r="C35" s="301"/>
      <c r="D35" s="299"/>
      <c r="F35" s="299"/>
      <c r="H35" s="300"/>
    </row>
    <row r="36" spans="3:8" s="289" customFormat="1" ht="21.75" customHeight="1">
      <c r="C36" s="301"/>
      <c r="D36" s="299"/>
      <c r="F36" s="299"/>
      <c r="H36" s="300"/>
    </row>
    <row r="37" spans="3:12" ht="21.75" customHeight="1">
      <c r="C37" s="605" t="s">
        <v>245</v>
      </c>
      <c r="D37" s="605"/>
      <c r="G37" s="603" t="s">
        <v>246</v>
      </c>
      <c r="H37" s="603"/>
      <c r="K37" s="602" t="s">
        <v>247</v>
      </c>
      <c r="L37" s="602"/>
    </row>
    <row r="38" spans="3:12" ht="21.75" customHeight="1">
      <c r="C38" s="604" t="s">
        <v>242</v>
      </c>
      <c r="D38" s="604"/>
      <c r="G38" s="604" t="s">
        <v>243</v>
      </c>
      <c r="H38" s="604"/>
      <c r="K38" s="606" t="s">
        <v>244</v>
      </c>
      <c r="L38" s="606"/>
    </row>
    <row r="39" spans="3:12" ht="21.75" customHeight="1">
      <c r="C39" s="604" t="s">
        <v>239</v>
      </c>
      <c r="D39" s="604"/>
      <c r="G39" s="604" t="s">
        <v>240</v>
      </c>
      <c r="H39" s="604"/>
      <c r="K39" s="606" t="s">
        <v>241</v>
      </c>
      <c r="L39" s="606"/>
    </row>
  </sheetData>
  <sheetProtection/>
  <mergeCells count="22">
    <mergeCell ref="K39:L39"/>
    <mergeCell ref="G39:H39"/>
    <mergeCell ref="C39:D39"/>
    <mergeCell ref="H5:H6"/>
    <mergeCell ref="L5:L6"/>
    <mergeCell ref="K37:L37"/>
    <mergeCell ref="G37:H37"/>
    <mergeCell ref="A5:A6"/>
    <mergeCell ref="F5:F6"/>
    <mergeCell ref="G38:H38"/>
    <mergeCell ref="C38:D38"/>
    <mergeCell ref="C37:D37"/>
    <mergeCell ref="K38:L38"/>
    <mergeCell ref="D5:D6"/>
    <mergeCell ref="G5:G6"/>
    <mergeCell ref="A1:N1"/>
    <mergeCell ref="A2:N2"/>
    <mergeCell ref="A3:N3"/>
    <mergeCell ref="N5:N6"/>
    <mergeCell ref="C5:C6"/>
    <mergeCell ref="B5:B6"/>
    <mergeCell ref="M5:M6"/>
  </mergeCells>
  <printOptions/>
  <pageMargins left="0.32" right="0.15748031496062992" top="0.2362204724409449" bottom="0.15748031496062992" header="0.11811023622047245" footer="0.11811023622047245"/>
  <pageSetup horizontalDpi="180" verticalDpi="18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zoomScalePageLayoutView="0" workbookViewId="0" topLeftCell="A1">
      <pane xSplit="1" ySplit="7" topLeftCell="B8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F39" sqref="F39"/>
    </sheetView>
  </sheetViews>
  <sheetFormatPr defaultColWidth="9.140625" defaultRowHeight="22.5" customHeight="1"/>
  <cols>
    <col min="1" max="1" width="30.00390625" style="263" customWidth="1"/>
    <col min="2" max="2" width="15.421875" style="263" customWidth="1"/>
    <col min="3" max="3" width="15.28125" style="263" customWidth="1"/>
    <col min="4" max="6" width="14.140625" style="263" customWidth="1"/>
    <col min="7" max="7" width="11.28125" style="263" customWidth="1"/>
    <col min="8" max="14" width="14.140625" style="263" customWidth="1"/>
    <col min="15" max="16384" width="9.140625" style="263" customWidth="1"/>
  </cols>
  <sheetData>
    <row r="1" spans="1:14" ht="22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22.5" customHeight="1">
      <c r="A2" s="593" t="s">
        <v>249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</row>
    <row r="3" spans="1:14" ht="22.5" customHeight="1">
      <c r="A3" s="593" t="str">
        <f>+'รับ+อุดหนุน'!A3</f>
        <v>ตั้งแต่วันที่ 1 ตุลาคม 2557  ถึงวันที่ 30 กันยายน 2558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</row>
    <row r="4" spans="1:14" ht="11.2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5"/>
    </row>
    <row r="5" spans="1:14" s="268" customFormat="1" ht="22.5" customHeight="1">
      <c r="A5" s="591" t="s">
        <v>2</v>
      </c>
      <c r="B5" s="591" t="s">
        <v>24</v>
      </c>
      <c r="C5" s="591" t="s">
        <v>33</v>
      </c>
      <c r="D5" s="591" t="s">
        <v>220</v>
      </c>
      <c r="E5" s="267" t="s">
        <v>221</v>
      </c>
      <c r="F5" s="591" t="s">
        <v>222</v>
      </c>
      <c r="G5" s="591" t="s">
        <v>223</v>
      </c>
      <c r="H5" s="591" t="s">
        <v>224</v>
      </c>
      <c r="I5" s="266" t="s">
        <v>225</v>
      </c>
      <c r="J5" s="267" t="s">
        <v>262</v>
      </c>
      <c r="K5" s="267" t="s">
        <v>227</v>
      </c>
      <c r="L5" s="591" t="s">
        <v>263</v>
      </c>
      <c r="M5" s="591" t="s">
        <v>264</v>
      </c>
      <c r="N5" s="591" t="s">
        <v>11</v>
      </c>
    </row>
    <row r="6" spans="1:14" s="268" customFormat="1" ht="22.5" customHeight="1">
      <c r="A6" s="592"/>
      <c r="B6" s="592"/>
      <c r="C6" s="592"/>
      <c r="D6" s="592"/>
      <c r="E6" s="269" t="s">
        <v>228</v>
      </c>
      <c r="F6" s="592"/>
      <c r="G6" s="592"/>
      <c r="H6" s="592"/>
      <c r="I6" s="270" t="s">
        <v>261</v>
      </c>
      <c r="J6" s="269" t="s">
        <v>229</v>
      </c>
      <c r="K6" s="269" t="s">
        <v>248</v>
      </c>
      <c r="L6" s="592"/>
      <c r="M6" s="592"/>
      <c r="N6" s="601"/>
    </row>
    <row r="7" spans="1:14" s="274" customFormat="1" ht="22.5" customHeight="1">
      <c r="A7" s="271" t="s">
        <v>103</v>
      </c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</row>
    <row r="8" spans="1:14" s="274" customFormat="1" ht="22.5" customHeight="1">
      <c r="A8" s="220" t="s">
        <v>288</v>
      </c>
      <c r="B8" s="276">
        <v>995625</v>
      </c>
      <c r="C8" s="275">
        <f aca="true" t="shared" si="0" ref="C8:C17">SUM(D8:N8)</f>
        <v>739453.5</v>
      </c>
      <c r="D8" s="275">
        <v>0</v>
      </c>
      <c r="E8" s="275">
        <v>0</v>
      </c>
      <c r="F8" s="275">
        <v>0</v>
      </c>
      <c r="G8" s="275">
        <v>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75">
        <f>97730+340000+37500+109941+154282.5</f>
        <v>739453.5</v>
      </c>
    </row>
    <row r="9" spans="1:14" s="274" customFormat="1" ht="22.5" customHeight="1">
      <c r="A9" s="220" t="s">
        <v>105</v>
      </c>
      <c r="B9" s="276">
        <f>695520+120000+120000+198720+1490400</f>
        <v>2624640</v>
      </c>
      <c r="C9" s="275">
        <f t="shared" si="0"/>
        <v>2573134.84</v>
      </c>
      <c r="D9" s="275">
        <f>695520+120000+120000+198720+1438894.84</f>
        <v>2573134.84</v>
      </c>
      <c r="E9" s="275">
        <v>0</v>
      </c>
      <c r="F9" s="275">
        <v>0</v>
      </c>
      <c r="G9" s="275">
        <v>0</v>
      </c>
      <c r="H9" s="275">
        <v>0</v>
      </c>
      <c r="I9" s="275">
        <v>0</v>
      </c>
      <c r="J9" s="275">
        <v>0</v>
      </c>
      <c r="K9" s="275">
        <v>0</v>
      </c>
      <c r="L9" s="275">
        <v>0</v>
      </c>
      <c r="M9" s="275">
        <v>0</v>
      </c>
      <c r="N9" s="275">
        <v>0</v>
      </c>
    </row>
    <row r="10" spans="1:14" s="274" customFormat="1" ht="22.5" customHeight="1">
      <c r="A10" s="220" t="s">
        <v>289</v>
      </c>
      <c r="B10" s="276">
        <f>7282760+342760+2442315-2624640</f>
        <v>7443195</v>
      </c>
      <c r="C10" s="275">
        <f t="shared" si="0"/>
        <v>5986553.55</v>
      </c>
      <c r="D10" s="275">
        <f>2156264.33+23613.23+109200+158430+2140+988036+113950.48+67200+815156+42000+154770+5910+489120+48000</f>
        <v>5173790.04</v>
      </c>
      <c r="E10" s="275">
        <v>0</v>
      </c>
      <c r="F10" s="275">
        <v>0</v>
      </c>
      <c r="G10" s="275">
        <v>0</v>
      </c>
      <c r="H10" s="275">
        <f>317700+42000+391011+62052.51</f>
        <v>812763.51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</row>
    <row r="11" spans="1:14" s="274" customFormat="1" ht="22.5" customHeight="1">
      <c r="A11" s="220" t="s">
        <v>12</v>
      </c>
      <c r="B11" s="276">
        <v>350000</v>
      </c>
      <c r="C11" s="275">
        <f t="shared" si="0"/>
        <v>148173</v>
      </c>
      <c r="D11" s="275">
        <f>15300+9540+71000+29783+17300</f>
        <v>142923</v>
      </c>
      <c r="E11" s="275"/>
      <c r="F11" s="275">
        <v>0</v>
      </c>
      <c r="G11" s="275">
        <v>0</v>
      </c>
      <c r="H11" s="275">
        <v>5250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5">
        <v>0</v>
      </c>
    </row>
    <row r="12" spans="1:14" s="274" customFormat="1" ht="22.5" customHeight="1">
      <c r="A12" s="220" t="s">
        <v>230</v>
      </c>
      <c r="B12" s="276">
        <v>3919850</v>
      </c>
      <c r="C12" s="275">
        <f t="shared" si="0"/>
        <v>2223143.06</v>
      </c>
      <c r="D12" s="275">
        <f>25500+249311.67+5110+5409+3916+2949+166979+23146+244876+21581.98+15400+161245+43750+8910</f>
        <v>978083.65</v>
      </c>
      <c r="E12" s="275">
        <v>9561</v>
      </c>
      <c r="F12" s="275">
        <f>6935+3754+3212+24616+64700+19486.5+448595.75</f>
        <v>571299.25</v>
      </c>
      <c r="G12" s="275">
        <v>0</v>
      </c>
      <c r="H12" s="275">
        <f>66108.12+7694.08+2400+20660.71+38100+263726.25</f>
        <v>398689.16000000003</v>
      </c>
      <c r="I12" s="275">
        <f>5091+18000+6898</f>
        <v>29989</v>
      </c>
      <c r="J12" s="275">
        <v>216981</v>
      </c>
      <c r="K12" s="275">
        <v>0</v>
      </c>
      <c r="L12" s="275">
        <v>9975</v>
      </c>
      <c r="M12" s="275">
        <v>8565</v>
      </c>
      <c r="N12" s="275">
        <v>0</v>
      </c>
    </row>
    <row r="13" spans="1:14" s="274" customFormat="1" ht="22.5" customHeight="1">
      <c r="A13" s="220" t="s">
        <v>231</v>
      </c>
      <c r="B13" s="276">
        <v>3589490</v>
      </c>
      <c r="C13" s="275">
        <f t="shared" si="0"/>
        <v>3069029.92</v>
      </c>
      <c r="D13" s="275">
        <f>129700+300+9299+13931+10662.44+25665+142621.4+2990+70500+63108+331.6+7405.8+36000</f>
        <v>512514.23999999993</v>
      </c>
      <c r="E13" s="275"/>
      <c r="F13" s="275">
        <f>697453.94+1179988.6</f>
        <v>1877442.54</v>
      </c>
      <c r="G13" s="275">
        <f>1700+179850</f>
        <v>181550</v>
      </c>
      <c r="H13" s="275">
        <f>10517+62007+71500+5274+13811.2+179468.94+12610+3540</f>
        <v>358728.14</v>
      </c>
      <c r="I13" s="275">
        <v>0</v>
      </c>
      <c r="J13" s="275">
        <v>96184</v>
      </c>
      <c r="K13" s="275">
        <v>0</v>
      </c>
      <c r="L13" s="275">
        <v>2520</v>
      </c>
      <c r="M13" s="275">
        <v>40091</v>
      </c>
      <c r="N13" s="275">
        <v>0</v>
      </c>
    </row>
    <row r="14" spans="1:14" s="274" customFormat="1" ht="22.5" customHeight="1">
      <c r="A14" s="220" t="s">
        <v>15</v>
      </c>
      <c r="B14" s="276">
        <v>960000</v>
      </c>
      <c r="C14" s="275">
        <f t="shared" si="0"/>
        <v>880674.62</v>
      </c>
      <c r="D14" s="275">
        <f>153834.99+11755.02+1982+56282+14676</f>
        <v>238530.00999999998</v>
      </c>
      <c r="E14" s="275">
        <v>0</v>
      </c>
      <c r="F14" s="275">
        <v>0</v>
      </c>
      <c r="G14" s="275">
        <v>0</v>
      </c>
      <c r="H14" s="275">
        <v>0</v>
      </c>
      <c r="I14" s="275">
        <v>0</v>
      </c>
      <c r="J14" s="275">
        <v>0</v>
      </c>
      <c r="K14" s="275">
        <v>0</v>
      </c>
      <c r="L14" s="275">
        <v>0</v>
      </c>
      <c r="M14" s="275">
        <v>642144.61</v>
      </c>
      <c r="N14" s="275">
        <v>0</v>
      </c>
    </row>
    <row r="15" spans="1:14" s="274" customFormat="1" ht="22.5" customHeight="1">
      <c r="A15" s="220" t="s">
        <v>290</v>
      </c>
      <c r="B15" s="276">
        <v>933000</v>
      </c>
      <c r="C15" s="275">
        <f t="shared" si="0"/>
        <v>771156.55</v>
      </c>
      <c r="D15" s="275">
        <f>6800+4990+58736.55+9980+22000+25000+1700</f>
        <v>129206.55</v>
      </c>
      <c r="E15" s="275"/>
      <c r="F15" s="275">
        <v>0</v>
      </c>
      <c r="G15" s="275">
        <v>0</v>
      </c>
      <c r="H15" s="275">
        <f>20970+25000+18500+5000+59500+48600+52000+62000+98500+121000+121400</f>
        <v>632470</v>
      </c>
      <c r="I15" s="275">
        <v>0</v>
      </c>
      <c r="J15" s="275">
        <v>0</v>
      </c>
      <c r="K15" s="275">
        <v>0</v>
      </c>
      <c r="L15" s="275">
        <v>0</v>
      </c>
      <c r="M15" s="275">
        <v>9480</v>
      </c>
      <c r="N15" s="275">
        <v>0</v>
      </c>
    </row>
    <row r="16" spans="1:14" s="274" customFormat="1" ht="22.5" customHeight="1">
      <c r="A16" s="220" t="s">
        <v>291</v>
      </c>
      <c r="B16" s="276">
        <v>3359200</v>
      </c>
      <c r="C16" s="275">
        <f t="shared" si="0"/>
        <v>3217200</v>
      </c>
      <c r="D16" s="275">
        <v>0</v>
      </c>
      <c r="E16" s="275"/>
      <c r="F16" s="275">
        <v>0</v>
      </c>
      <c r="G16" s="275">
        <v>0</v>
      </c>
      <c r="H16" s="275">
        <v>0</v>
      </c>
      <c r="I16" s="275">
        <v>0</v>
      </c>
      <c r="J16" s="275">
        <v>0</v>
      </c>
      <c r="K16" s="275">
        <f>222200+855000+672500+242500+457000+768000</f>
        <v>3217200</v>
      </c>
      <c r="L16" s="275">
        <v>0</v>
      </c>
      <c r="M16" s="275">
        <v>0</v>
      </c>
      <c r="N16" s="275">
        <v>0</v>
      </c>
    </row>
    <row r="17" spans="1:14" s="274" customFormat="1" ht="22.5" customHeight="1">
      <c r="A17" s="218" t="s">
        <v>16</v>
      </c>
      <c r="B17" s="278">
        <v>3825000</v>
      </c>
      <c r="C17" s="275">
        <f t="shared" si="0"/>
        <v>3728700</v>
      </c>
      <c r="D17" s="277">
        <v>0</v>
      </c>
      <c r="E17" s="277">
        <v>0</v>
      </c>
      <c r="F17" s="277">
        <v>3612000</v>
      </c>
      <c r="G17" s="277">
        <v>81700</v>
      </c>
      <c r="H17" s="277">
        <v>0</v>
      </c>
      <c r="I17" s="277">
        <v>10000</v>
      </c>
      <c r="J17" s="277">
        <f>5000+10000+10000</f>
        <v>25000</v>
      </c>
      <c r="K17" s="277">
        <v>0</v>
      </c>
      <c r="L17" s="275">
        <v>0</v>
      </c>
      <c r="M17" s="277">
        <v>0</v>
      </c>
      <c r="N17" s="277">
        <v>0</v>
      </c>
    </row>
    <row r="18" spans="1:14" s="274" customFormat="1" ht="22.5" customHeight="1">
      <c r="A18" s="273"/>
      <c r="B18" s="272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</row>
    <row r="19" spans="1:14" s="281" customFormat="1" ht="22.5" customHeight="1" thickBot="1">
      <c r="A19" s="279" t="s">
        <v>33</v>
      </c>
      <c r="B19" s="280">
        <f aca="true" t="shared" si="1" ref="B19:J19">SUM(B8:B17)</f>
        <v>28000000</v>
      </c>
      <c r="C19" s="280">
        <f t="shared" si="1"/>
        <v>23337219.04</v>
      </c>
      <c r="D19" s="280">
        <f t="shared" si="1"/>
        <v>9748182.33</v>
      </c>
      <c r="E19" s="280">
        <f t="shared" si="1"/>
        <v>9561</v>
      </c>
      <c r="F19" s="280">
        <f t="shared" si="1"/>
        <v>6060741.79</v>
      </c>
      <c r="G19" s="280">
        <f t="shared" si="1"/>
        <v>263250</v>
      </c>
      <c r="H19" s="280">
        <f t="shared" si="1"/>
        <v>2207900.81</v>
      </c>
      <c r="I19" s="280">
        <f t="shared" si="1"/>
        <v>39989</v>
      </c>
      <c r="J19" s="280">
        <f t="shared" si="1"/>
        <v>338165</v>
      </c>
      <c r="K19" s="280"/>
      <c r="L19" s="280"/>
      <c r="M19" s="280">
        <f>SUM(M8:M17)</f>
        <v>700280.61</v>
      </c>
      <c r="N19" s="280">
        <f>SUM(N8:N17)</f>
        <v>739453.5</v>
      </c>
    </row>
    <row r="20" spans="1:14" s="289" customFormat="1" ht="22.5" customHeight="1" thickTop="1">
      <c r="A20" s="284" t="s">
        <v>104</v>
      </c>
      <c r="B20" s="285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</row>
    <row r="21" spans="1:14" s="289" customFormat="1" ht="22.5" customHeight="1">
      <c r="A21" s="288" t="s">
        <v>97</v>
      </c>
      <c r="B21" s="288">
        <v>240000</v>
      </c>
      <c r="C21" s="288">
        <v>312307.52</v>
      </c>
      <c r="D21" s="287">
        <v>0</v>
      </c>
      <c r="E21" s="287">
        <v>0</v>
      </c>
      <c r="F21" s="287">
        <v>0</v>
      </c>
      <c r="G21" s="287">
        <v>0</v>
      </c>
      <c r="H21" s="287">
        <v>0</v>
      </c>
      <c r="I21" s="287">
        <v>0</v>
      </c>
      <c r="J21" s="287">
        <v>0</v>
      </c>
      <c r="K21" s="287">
        <v>0</v>
      </c>
      <c r="L21" s="287">
        <v>0</v>
      </c>
      <c r="M21" s="287">
        <v>0</v>
      </c>
      <c r="N21" s="287">
        <v>0</v>
      </c>
    </row>
    <row r="22" spans="1:14" s="289" customFormat="1" ht="22.5" customHeight="1">
      <c r="A22" s="288" t="s">
        <v>98</v>
      </c>
      <c r="B22" s="288">
        <v>137000</v>
      </c>
      <c r="C22" s="288">
        <v>234427.5</v>
      </c>
      <c r="D22" s="287">
        <v>0</v>
      </c>
      <c r="E22" s="287">
        <v>0</v>
      </c>
      <c r="F22" s="287">
        <v>0</v>
      </c>
      <c r="G22" s="287">
        <v>0</v>
      </c>
      <c r="H22" s="287">
        <v>0</v>
      </c>
      <c r="I22" s="287">
        <v>0</v>
      </c>
      <c r="J22" s="287">
        <v>0</v>
      </c>
      <c r="K22" s="287">
        <v>0</v>
      </c>
      <c r="L22" s="287">
        <v>0</v>
      </c>
      <c r="M22" s="287">
        <v>0</v>
      </c>
      <c r="N22" s="287">
        <v>0</v>
      </c>
    </row>
    <row r="23" spans="1:14" s="289" customFormat="1" ht="22.5" customHeight="1">
      <c r="A23" s="288" t="s">
        <v>232</v>
      </c>
      <c r="B23" s="288">
        <v>410000</v>
      </c>
      <c r="C23" s="288">
        <v>849064</v>
      </c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287">
        <v>0</v>
      </c>
      <c r="L23" s="287">
        <v>0</v>
      </c>
      <c r="M23" s="287">
        <v>0</v>
      </c>
      <c r="N23" s="287">
        <v>0</v>
      </c>
    </row>
    <row r="24" spans="1:14" s="289" customFormat="1" ht="22.5" customHeight="1">
      <c r="A24" s="288" t="s">
        <v>99</v>
      </c>
      <c r="B24" s="288">
        <v>441000</v>
      </c>
      <c r="C24" s="288">
        <v>414445.21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  <c r="I24" s="287">
        <v>0</v>
      </c>
      <c r="J24" s="287">
        <v>0</v>
      </c>
      <c r="K24" s="287">
        <v>0</v>
      </c>
      <c r="L24" s="287">
        <v>0</v>
      </c>
      <c r="M24" s="287">
        <v>0</v>
      </c>
      <c r="N24" s="287">
        <v>0</v>
      </c>
    </row>
    <row r="25" spans="1:14" s="289" customFormat="1" ht="22.5" customHeight="1">
      <c r="A25" s="288" t="s">
        <v>100</v>
      </c>
      <c r="B25" s="288">
        <v>52000</v>
      </c>
      <c r="C25" s="288">
        <v>129840</v>
      </c>
      <c r="D25" s="287">
        <v>0</v>
      </c>
      <c r="E25" s="287">
        <v>0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  <c r="N25" s="287">
        <v>0</v>
      </c>
    </row>
    <row r="26" spans="1:14" s="289" customFormat="1" ht="22.5" customHeight="1">
      <c r="A26" s="288" t="s">
        <v>101</v>
      </c>
      <c r="B26" s="288">
        <v>10000</v>
      </c>
      <c r="C26" s="288">
        <v>0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0</v>
      </c>
      <c r="L26" s="287">
        <v>0</v>
      </c>
      <c r="M26" s="287">
        <v>0</v>
      </c>
      <c r="N26" s="287">
        <v>0</v>
      </c>
    </row>
    <row r="27" spans="1:14" s="289" customFormat="1" ht="22.5" customHeight="1">
      <c r="A27" s="288" t="s">
        <v>233</v>
      </c>
      <c r="B27" s="288">
        <v>15710000</v>
      </c>
      <c r="C27" s="288">
        <v>17567427.02</v>
      </c>
      <c r="D27" s="287">
        <v>0</v>
      </c>
      <c r="E27" s="287">
        <v>0</v>
      </c>
      <c r="F27" s="287">
        <v>0</v>
      </c>
      <c r="G27" s="287">
        <v>0</v>
      </c>
      <c r="H27" s="287">
        <v>0</v>
      </c>
      <c r="I27" s="287">
        <v>0</v>
      </c>
      <c r="J27" s="287">
        <v>0</v>
      </c>
      <c r="K27" s="287">
        <v>0</v>
      </c>
      <c r="L27" s="287">
        <v>0</v>
      </c>
      <c r="M27" s="287">
        <v>0</v>
      </c>
      <c r="N27" s="287">
        <v>0</v>
      </c>
    </row>
    <row r="28" spans="1:14" s="289" customFormat="1" ht="22.5" customHeight="1">
      <c r="A28" s="288" t="s">
        <v>292</v>
      </c>
      <c r="B28" s="288">
        <v>11000000</v>
      </c>
      <c r="C28" s="288">
        <f>4920541+42000+1890560+4319200+12000+81708</f>
        <v>11266009</v>
      </c>
      <c r="D28" s="287">
        <v>0</v>
      </c>
      <c r="E28" s="287">
        <v>0</v>
      </c>
      <c r="F28" s="287">
        <v>0</v>
      </c>
      <c r="G28" s="287">
        <v>0</v>
      </c>
      <c r="H28" s="287">
        <v>0</v>
      </c>
      <c r="I28" s="287">
        <v>0</v>
      </c>
      <c r="J28" s="287">
        <v>0</v>
      </c>
      <c r="K28" s="287">
        <v>0</v>
      </c>
      <c r="L28" s="287">
        <v>0</v>
      </c>
      <c r="M28" s="287">
        <v>0</v>
      </c>
      <c r="N28" s="287">
        <v>0</v>
      </c>
    </row>
    <row r="29" spans="1:14" s="289" customFormat="1" ht="22.5" customHeight="1">
      <c r="A29" s="288" t="s">
        <v>140</v>
      </c>
      <c r="B29" s="290">
        <v>0</v>
      </c>
      <c r="C29" s="291">
        <v>0</v>
      </c>
      <c r="D29" s="287">
        <v>0</v>
      </c>
      <c r="E29" s="287">
        <v>0</v>
      </c>
      <c r="F29" s="287">
        <v>0</v>
      </c>
      <c r="G29" s="287">
        <v>0</v>
      </c>
      <c r="H29" s="287">
        <v>0</v>
      </c>
      <c r="I29" s="287">
        <v>0</v>
      </c>
      <c r="J29" s="287">
        <v>0</v>
      </c>
      <c r="K29" s="287">
        <v>0</v>
      </c>
      <c r="L29" s="287">
        <v>0</v>
      </c>
      <c r="M29" s="287">
        <v>0</v>
      </c>
      <c r="N29" s="287">
        <v>0</v>
      </c>
    </row>
    <row r="30" spans="1:14" s="289" customFormat="1" ht="22.5" customHeight="1">
      <c r="A30" s="288" t="s">
        <v>259</v>
      </c>
      <c r="B30" s="290">
        <v>0</v>
      </c>
      <c r="C30" s="291">
        <v>0</v>
      </c>
      <c r="D30" s="287">
        <v>0</v>
      </c>
      <c r="E30" s="287">
        <v>0</v>
      </c>
      <c r="F30" s="287">
        <v>0</v>
      </c>
      <c r="G30" s="287">
        <v>0</v>
      </c>
      <c r="H30" s="287">
        <v>0</v>
      </c>
      <c r="I30" s="287">
        <v>0</v>
      </c>
      <c r="J30" s="287">
        <v>0</v>
      </c>
      <c r="K30" s="287">
        <v>0</v>
      </c>
      <c r="L30" s="287">
        <v>0</v>
      </c>
      <c r="M30" s="287">
        <v>0</v>
      </c>
      <c r="N30" s="287">
        <v>0</v>
      </c>
    </row>
    <row r="31" spans="1:14" s="289" customFormat="1" ht="22.5" customHeight="1">
      <c r="A31" s="292" t="s">
        <v>148</v>
      </c>
      <c r="B31" s="293">
        <v>0</v>
      </c>
      <c r="C31" s="294">
        <v>0</v>
      </c>
      <c r="D31" s="287">
        <v>0</v>
      </c>
      <c r="E31" s="287">
        <v>0</v>
      </c>
      <c r="F31" s="287">
        <v>0</v>
      </c>
      <c r="G31" s="287">
        <v>0</v>
      </c>
      <c r="H31" s="287">
        <v>0</v>
      </c>
      <c r="I31" s="287">
        <v>0</v>
      </c>
      <c r="J31" s="287">
        <v>0</v>
      </c>
      <c r="K31" s="287">
        <v>0</v>
      </c>
      <c r="L31" s="287">
        <v>0</v>
      </c>
      <c r="M31" s="287">
        <v>0</v>
      </c>
      <c r="N31" s="287">
        <v>0</v>
      </c>
    </row>
    <row r="32" spans="1:14" s="289" customFormat="1" ht="22.5" customHeight="1" thickBot="1">
      <c r="A32" s="295" t="s">
        <v>102</v>
      </c>
      <c r="B32" s="296">
        <f>SUM(B21:B31)</f>
        <v>28000000</v>
      </c>
      <c r="C32" s="297">
        <f>SUM(C21:C31)</f>
        <v>30773520.25</v>
      </c>
      <c r="D32" s="296">
        <f>SUM(D21:D31)</f>
        <v>0</v>
      </c>
      <c r="E32" s="296">
        <f aca="true" t="shared" si="2" ref="E32:N32">SUM(E21:E31)</f>
        <v>0</v>
      </c>
      <c r="F32" s="296">
        <f t="shared" si="2"/>
        <v>0</v>
      </c>
      <c r="G32" s="296">
        <f t="shared" si="2"/>
        <v>0</v>
      </c>
      <c r="H32" s="296">
        <f t="shared" si="2"/>
        <v>0</v>
      </c>
      <c r="I32" s="296">
        <f t="shared" si="2"/>
        <v>0</v>
      </c>
      <c r="J32" s="296">
        <f t="shared" si="2"/>
        <v>0</v>
      </c>
      <c r="K32" s="296">
        <f t="shared" si="2"/>
        <v>0</v>
      </c>
      <c r="L32" s="296">
        <f t="shared" si="2"/>
        <v>0</v>
      </c>
      <c r="M32" s="296">
        <f t="shared" si="2"/>
        <v>0</v>
      </c>
      <c r="N32" s="297">
        <f t="shared" si="2"/>
        <v>0</v>
      </c>
    </row>
    <row r="33" spans="1:8" s="289" customFormat="1" ht="22.5" customHeight="1" thickBot="1" thickTop="1">
      <c r="A33" s="289" t="s">
        <v>234</v>
      </c>
      <c r="C33" s="298">
        <f>+C32-C19</f>
        <v>7436301.210000001</v>
      </c>
      <c r="D33" s="299"/>
      <c r="F33" s="299"/>
      <c r="H33" s="300"/>
    </row>
    <row r="34" spans="3:8" s="289" customFormat="1" ht="28.5" customHeight="1" thickTop="1">
      <c r="C34" s="301"/>
      <c r="D34" s="299"/>
      <c r="F34" s="299"/>
      <c r="H34" s="300"/>
    </row>
    <row r="35" spans="3:12" ht="22.5" customHeight="1">
      <c r="C35" s="605" t="s">
        <v>245</v>
      </c>
      <c r="D35" s="605"/>
      <c r="G35" s="603" t="s">
        <v>246</v>
      </c>
      <c r="H35" s="603"/>
      <c r="K35" s="602" t="s">
        <v>247</v>
      </c>
      <c r="L35" s="602"/>
    </row>
    <row r="36" spans="3:12" ht="22.5" customHeight="1">
      <c r="C36" s="604" t="s">
        <v>242</v>
      </c>
      <c r="D36" s="604"/>
      <c r="G36" s="604" t="s">
        <v>243</v>
      </c>
      <c r="H36" s="604"/>
      <c r="K36" s="606" t="s">
        <v>244</v>
      </c>
      <c r="L36" s="606"/>
    </row>
    <row r="37" spans="3:12" ht="22.5" customHeight="1">
      <c r="C37" s="604" t="s">
        <v>239</v>
      </c>
      <c r="D37" s="604"/>
      <c r="G37" s="604" t="s">
        <v>240</v>
      </c>
      <c r="H37" s="604"/>
      <c r="K37" s="606" t="s">
        <v>241</v>
      </c>
      <c r="L37" s="606"/>
    </row>
  </sheetData>
  <sheetProtection/>
  <mergeCells count="22">
    <mergeCell ref="C5:C6"/>
    <mergeCell ref="B5:B6"/>
    <mergeCell ref="G5:G6"/>
    <mergeCell ref="H5:H6"/>
    <mergeCell ref="N5:N6"/>
    <mergeCell ref="C36:D36"/>
    <mergeCell ref="C35:D35"/>
    <mergeCell ref="A1:N1"/>
    <mergeCell ref="A2:N2"/>
    <mergeCell ref="A3:N3"/>
    <mergeCell ref="K36:L36"/>
    <mergeCell ref="G36:H36"/>
    <mergeCell ref="A5:A6"/>
    <mergeCell ref="D5:D6"/>
    <mergeCell ref="F5:F6"/>
    <mergeCell ref="C37:D37"/>
    <mergeCell ref="L5:L6"/>
    <mergeCell ref="M5:M6"/>
    <mergeCell ref="K37:L37"/>
    <mergeCell ref="G37:H37"/>
    <mergeCell ref="K35:L35"/>
    <mergeCell ref="G35:H35"/>
  </mergeCells>
  <printOptions/>
  <pageMargins left="0.31" right="0.16" top="0.22" bottom="0.15748031496062992" header="0.11811023622047245" footer="0.11811023622047245"/>
  <pageSetup horizontalDpi="180" verticalDpi="18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zoomScalePageLayoutView="0" workbookViewId="0" topLeftCell="A1">
      <pane xSplit="1" ySplit="6" topLeftCell="B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O40" sqref="O40"/>
    </sheetView>
  </sheetViews>
  <sheetFormatPr defaultColWidth="9.140625" defaultRowHeight="21.75"/>
  <cols>
    <col min="1" max="1" width="32.8515625" style="212" bestFit="1" customWidth="1"/>
    <col min="2" max="2" width="13.7109375" style="212" customWidth="1"/>
    <col min="3" max="3" width="13.57421875" style="212" bestFit="1" customWidth="1"/>
    <col min="4" max="4" width="14.00390625" style="212" hidden="1" customWidth="1"/>
    <col min="5" max="5" width="13.140625" style="212" bestFit="1" customWidth="1"/>
    <col min="6" max="6" width="13.28125" style="212" customWidth="1"/>
    <col min="7" max="7" width="10.7109375" style="212" hidden="1" customWidth="1"/>
    <col min="8" max="8" width="1.28515625" style="212" hidden="1" customWidth="1"/>
    <col min="9" max="9" width="16.00390625" style="212" customWidth="1"/>
    <col min="10" max="10" width="18.28125" style="212" hidden="1" customWidth="1"/>
    <col min="11" max="11" width="13.00390625" style="212" customWidth="1"/>
    <col min="12" max="12" width="9.7109375" style="212" hidden="1" customWidth="1"/>
    <col min="13" max="13" width="10.7109375" style="212" hidden="1" customWidth="1"/>
    <col min="14" max="14" width="12.57421875" style="212" bestFit="1" customWidth="1"/>
    <col min="15" max="15" width="13.8515625" style="212" customWidth="1"/>
    <col min="16" max="16" width="12.7109375" style="212" bestFit="1" customWidth="1"/>
    <col min="17" max="16384" width="9.140625" style="212" customWidth="1"/>
  </cols>
  <sheetData>
    <row r="1" spans="1:14" s="234" customFormat="1" ht="24.75" customHeight="1">
      <c r="A1" s="607" t="s">
        <v>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</row>
    <row r="2" spans="1:14" s="234" customFormat="1" ht="24.75" customHeight="1">
      <c r="A2" s="607" t="s">
        <v>265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</row>
    <row r="3" spans="1:14" s="234" customFormat="1" ht="24.75" customHeight="1">
      <c r="A3" s="607" t="str">
        <f>+'รับ+อุดหนุน'!A3</f>
        <v>ตั้งแต่วันที่ 1 ตุลาคม 2557  ถึงวันที่ 30 กันยายน 2558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</row>
    <row r="4" spans="1:14" ht="24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4" s="211" customFormat="1" ht="24.75" customHeight="1">
      <c r="A5" s="611" t="s">
        <v>2</v>
      </c>
      <c r="B5" s="613" t="s">
        <v>24</v>
      </c>
      <c r="C5" s="613" t="s">
        <v>33</v>
      </c>
      <c r="D5" s="608" t="s">
        <v>220</v>
      </c>
      <c r="E5" s="214" t="s">
        <v>221</v>
      </c>
      <c r="F5" s="608" t="s">
        <v>222</v>
      </c>
      <c r="G5" s="608" t="s">
        <v>223</v>
      </c>
      <c r="H5" s="608" t="s">
        <v>224</v>
      </c>
      <c r="I5" s="213" t="s">
        <v>225</v>
      </c>
      <c r="J5" s="214" t="s">
        <v>226</v>
      </c>
      <c r="K5" s="214" t="s">
        <v>227</v>
      </c>
      <c r="L5" s="608" t="s">
        <v>263</v>
      </c>
      <c r="M5" s="608" t="s">
        <v>264</v>
      </c>
      <c r="N5" s="608" t="s">
        <v>11</v>
      </c>
    </row>
    <row r="6" spans="1:15" s="211" customFormat="1" ht="24.75" customHeight="1">
      <c r="A6" s="612"/>
      <c r="B6" s="614"/>
      <c r="C6" s="614"/>
      <c r="D6" s="609"/>
      <c r="E6" s="216" t="s">
        <v>228</v>
      </c>
      <c r="F6" s="609"/>
      <c r="G6" s="609"/>
      <c r="H6" s="609"/>
      <c r="I6" s="215" t="s">
        <v>261</v>
      </c>
      <c r="J6" s="216" t="s">
        <v>229</v>
      </c>
      <c r="K6" s="216" t="s">
        <v>248</v>
      </c>
      <c r="L6" s="609"/>
      <c r="M6" s="609"/>
      <c r="N6" s="610"/>
      <c r="O6" s="240"/>
    </row>
    <row r="7" spans="1:14" ht="24.75" customHeight="1">
      <c r="A7" s="241" t="s">
        <v>103</v>
      </c>
      <c r="B7" s="242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 ht="24.75" customHeight="1">
      <c r="A8" s="220" t="s">
        <v>283</v>
      </c>
      <c r="B8" s="221"/>
      <c r="C8" s="220">
        <f>SUM(D8:N8)</f>
        <v>8755895</v>
      </c>
      <c r="D8" s="220"/>
      <c r="E8" s="220">
        <v>0</v>
      </c>
      <c r="F8" s="224">
        <v>0</v>
      </c>
      <c r="G8" s="220"/>
      <c r="H8" s="220"/>
      <c r="I8" s="220">
        <v>0</v>
      </c>
      <c r="J8" s="220"/>
      <c r="K8" s="220">
        <v>0</v>
      </c>
      <c r="L8" s="220"/>
      <c r="M8" s="220"/>
      <c r="N8" s="220">
        <f>7755000+984000+16895</f>
        <v>8755895</v>
      </c>
    </row>
    <row r="9" spans="1:14" ht="24.75" customHeight="1">
      <c r="A9" s="237" t="s">
        <v>260</v>
      </c>
      <c r="B9" s="221"/>
      <c r="C9" s="220">
        <f aca="true" t="shared" si="0" ref="C9:C17">SUM(D9:N9)</f>
        <v>0</v>
      </c>
      <c r="D9" s="220"/>
      <c r="E9" s="220">
        <v>0</v>
      </c>
      <c r="F9" s="220">
        <v>0</v>
      </c>
      <c r="G9" s="220"/>
      <c r="H9" s="220"/>
      <c r="I9" s="220">
        <v>0</v>
      </c>
      <c r="J9" s="220"/>
      <c r="K9" s="220">
        <v>0</v>
      </c>
      <c r="L9" s="220"/>
      <c r="M9" s="220"/>
      <c r="N9" s="220">
        <v>0</v>
      </c>
    </row>
    <row r="10" spans="1:14" ht="24.75" customHeight="1">
      <c r="A10" s="237" t="s">
        <v>284</v>
      </c>
      <c r="B10" s="221"/>
      <c r="C10" s="220">
        <f t="shared" si="0"/>
        <v>1093301.94</v>
      </c>
      <c r="D10" s="220"/>
      <c r="E10" s="220">
        <v>0</v>
      </c>
      <c r="F10" s="220">
        <f>733601.94+359700</f>
        <v>1093301.94</v>
      </c>
      <c r="G10" s="220"/>
      <c r="H10" s="220"/>
      <c r="I10" s="220">
        <v>0</v>
      </c>
      <c r="J10" s="220"/>
      <c r="K10" s="220">
        <v>0</v>
      </c>
      <c r="L10" s="220"/>
      <c r="M10" s="220"/>
      <c r="N10" s="220">
        <v>0</v>
      </c>
    </row>
    <row r="11" spans="1:14" ht="24.75" customHeight="1">
      <c r="A11" s="220" t="s">
        <v>12</v>
      </c>
      <c r="B11" s="221"/>
      <c r="C11" s="220">
        <f t="shared" si="0"/>
        <v>0</v>
      </c>
      <c r="D11" s="220"/>
      <c r="E11" s="220">
        <v>0</v>
      </c>
      <c r="F11" s="220">
        <v>0</v>
      </c>
      <c r="G11" s="220"/>
      <c r="H11" s="220"/>
      <c r="I11" s="220">
        <v>0</v>
      </c>
      <c r="J11" s="220"/>
      <c r="K11" s="220">
        <v>0</v>
      </c>
      <c r="L11" s="220"/>
      <c r="M11" s="220"/>
      <c r="N11" s="220">
        <v>0</v>
      </c>
    </row>
    <row r="12" spans="1:14" ht="24.75" customHeight="1">
      <c r="A12" s="220" t="s">
        <v>230</v>
      </c>
      <c r="B12" s="221"/>
      <c r="C12" s="220">
        <f t="shared" si="0"/>
        <v>77000</v>
      </c>
      <c r="D12" s="220"/>
      <c r="E12" s="220">
        <v>0</v>
      </c>
      <c r="F12" s="220">
        <v>0</v>
      </c>
      <c r="G12" s="220"/>
      <c r="H12" s="220"/>
      <c r="I12" s="220">
        <v>77000</v>
      </c>
      <c r="J12" s="220"/>
      <c r="K12" s="220">
        <v>0</v>
      </c>
      <c r="L12" s="220"/>
      <c r="M12" s="220"/>
      <c r="N12" s="220">
        <v>0</v>
      </c>
    </row>
    <row r="13" spans="1:14" ht="24.75" customHeight="1">
      <c r="A13" s="220" t="s">
        <v>231</v>
      </c>
      <c r="B13" s="221"/>
      <c r="C13" s="220">
        <f t="shared" si="0"/>
        <v>215900</v>
      </c>
      <c r="D13" s="220"/>
      <c r="E13" s="220">
        <v>0</v>
      </c>
      <c r="F13" s="243">
        <v>215900</v>
      </c>
      <c r="G13" s="220"/>
      <c r="H13" s="220"/>
      <c r="I13" s="220">
        <v>0</v>
      </c>
      <c r="J13" s="220"/>
      <c r="K13" s="220">
        <v>0</v>
      </c>
      <c r="L13" s="220"/>
      <c r="M13" s="220"/>
      <c r="N13" s="220">
        <v>0</v>
      </c>
    </row>
    <row r="14" spans="1:14" ht="24.75" customHeight="1">
      <c r="A14" s="220" t="s">
        <v>15</v>
      </c>
      <c r="B14" s="221"/>
      <c r="C14" s="220">
        <f t="shared" si="0"/>
        <v>0</v>
      </c>
      <c r="D14" s="220"/>
      <c r="E14" s="220">
        <v>0</v>
      </c>
      <c r="F14" s="220">
        <v>0</v>
      </c>
      <c r="G14" s="220"/>
      <c r="H14" s="220"/>
      <c r="I14" s="220">
        <v>0</v>
      </c>
      <c r="J14" s="220"/>
      <c r="K14" s="220">
        <v>0</v>
      </c>
      <c r="L14" s="220"/>
      <c r="M14" s="220"/>
      <c r="N14" s="220">
        <v>0</v>
      </c>
    </row>
    <row r="15" spans="1:14" ht="24.75" customHeight="1">
      <c r="A15" s="220" t="s">
        <v>285</v>
      </c>
      <c r="B15" s="221"/>
      <c r="C15" s="220">
        <f t="shared" si="0"/>
        <v>898000</v>
      </c>
      <c r="D15" s="220"/>
      <c r="E15" s="220">
        <v>898000</v>
      </c>
      <c r="F15" s="220">
        <v>0</v>
      </c>
      <c r="G15" s="220"/>
      <c r="H15" s="220"/>
      <c r="I15" s="220">
        <v>0</v>
      </c>
      <c r="J15" s="220"/>
      <c r="K15" s="220">
        <v>0</v>
      </c>
      <c r="L15" s="220"/>
      <c r="M15" s="220"/>
      <c r="N15" s="220">
        <v>0</v>
      </c>
    </row>
    <row r="16" spans="1:14" ht="24.75" customHeight="1">
      <c r="A16" s="220" t="s">
        <v>286</v>
      </c>
      <c r="B16" s="221"/>
      <c r="C16" s="220">
        <f t="shared" si="0"/>
        <v>6693500</v>
      </c>
      <c r="D16" s="220"/>
      <c r="E16" s="220">
        <v>0</v>
      </c>
      <c r="F16" s="220">
        <v>0</v>
      </c>
      <c r="G16" s="220"/>
      <c r="H16" s="220"/>
      <c r="I16" s="220">
        <v>0</v>
      </c>
      <c r="J16" s="220"/>
      <c r="K16" s="220">
        <f>1522000+4127000+1044500</f>
        <v>6693500</v>
      </c>
      <c r="L16" s="220"/>
      <c r="M16" s="220"/>
      <c r="N16" s="220">
        <f>SUM(O16:Y16)</f>
        <v>0</v>
      </c>
    </row>
    <row r="17" spans="1:14" ht="24.75" customHeight="1">
      <c r="A17" s="218" t="s">
        <v>16</v>
      </c>
      <c r="B17" s="217"/>
      <c r="C17" s="220">
        <f t="shared" si="0"/>
        <v>0</v>
      </c>
      <c r="D17" s="218"/>
      <c r="E17" s="218">
        <v>0</v>
      </c>
      <c r="F17" s="218">
        <v>0</v>
      </c>
      <c r="G17" s="218"/>
      <c r="H17" s="218"/>
      <c r="I17" s="220">
        <v>0</v>
      </c>
      <c r="J17" s="218"/>
      <c r="K17" s="218">
        <v>0</v>
      </c>
      <c r="L17" s="218"/>
      <c r="M17" s="218"/>
      <c r="N17" s="218">
        <v>0</v>
      </c>
    </row>
    <row r="18" spans="1:14" ht="24.75" customHeight="1">
      <c r="A18" s="238"/>
      <c r="B18" s="239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</row>
    <row r="19" spans="1:14" s="222" customFormat="1" ht="24.75" customHeight="1">
      <c r="A19" s="213" t="s">
        <v>33</v>
      </c>
      <c r="B19" s="244">
        <f>SUM(B9:B17)</f>
        <v>0</v>
      </c>
      <c r="C19" s="244">
        <f>SUM(C8:C17)</f>
        <v>17733596.939999998</v>
      </c>
      <c r="D19" s="244">
        <f>SUM(D8:D17)</f>
        <v>0</v>
      </c>
      <c r="E19" s="244">
        <f aca="true" t="shared" si="1" ref="E19:N19">SUM(E8:E17)</f>
        <v>898000</v>
      </c>
      <c r="F19" s="244">
        <f t="shared" si="1"/>
        <v>1309201.94</v>
      </c>
      <c r="G19" s="244">
        <f t="shared" si="1"/>
        <v>0</v>
      </c>
      <c r="H19" s="244">
        <f t="shared" si="1"/>
        <v>0</v>
      </c>
      <c r="I19" s="244">
        <f t="shared" si="1"/>
        <v>77000</v>
      </c>
      <c r="J19" s="244">
        <f t="shared" si="1"/>
        <v>0</v>
      </c>
      <c r="K19" s="244">
        <f>SUM(K8:K17)</f>
        <v>6693500</v>
      </c>
      <c r="L19" s="244"/>
      <c r="M19" s="244">
        <f t="shared" si="1"/>
        <v>0</v>
      </c>
      <c r="N19" s="244">
        <f t="shared" si="1"/>
        <v>8755895</v>
      </c>
    </row>
    <row r="20" spans="1:14" s="223" customFormat="1" ht="24.75" customHeight="1">
      <c r="A20" s="245" t="s">
        <v>104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</row>
    <row r="21" spans="1:14" s="223" customFormat="1" ht="24.75" customHeight="1">
      <c r="A21" s="258" t="s">
        <v>274</v>
      </c>
      <c r="B21" s="258"/>
      <c r="C21" s="258">
        <v>1055030</v>
      </c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</row>
    <row r="22" spans="1:14" s="223" customFormat="1" ht="24.75" customHeight="1">
      <c r="A22" s="224" t="s">
        <v>250</v>
      </c>
      <c r="B22" s="224"/>
      <c r="C22" s="224">
        <v>7755000</v>
      </c>
      <c r="D22" s="225"/>
      <c r="E22" s="225"/>
      <c r="F22" s="225"/>
      <c r="G22" s="225">
        <v>0</v>
      </c>
      <c r="H22" s="225">
        <v>0</v>
      </c>
      <c r="I22" s="225"/>
      <c r="J22" s="225">
        <v>0</v>
      </c>
      <c r="K22" s="225"/>
      <c r="L22" s="225"/>
      <c r="M22" s="225">
        <v>0</v>
      </c>
      <c r="N22" s="225"/>
    </row>
    <row r="23" spans="1:14" s="223" customFormat="1" ht="24.75" customHeight="1">
      <c r="A23" s="224" t="s">
        <v>251</v>
      </c>
      <c r="B23" s="224"/>
      <c r="C23" s="224">
        <v>984000</v>
      </c>
      <c r="D23" s="225"/>
      <c r="E23" s="225"/>
      <c r="F23" s="225"/>
      <c r="G23" s="225">
        <v>0</v>
      </c>
      <c r="H23" s="225">
        <v>0</v>
      </c>
      <c r="I23" s="225"/>
      <c r="J23" s="225">
        <v>0</v>
      </c>
      <c r="K23" s="225"/>
      <c r="L23" s="225"/>
      <c r="M23" s="225">
        <v>0</v>
      </c>
      <c r="N23" s="225"/>
    </row>
    <row r="24" spans="1:14" s="223" customFormat="1" ht="24.75" customHeight="1">
      <c r="A24" s="224" t="s">
        <v>267</v>
      </c>
      <c r="B24" s="224"/>
      <c r="C24" s="224">
        <v>733601.94</v>
      </c>
      <c r="D24" s="225"/>
      <c r="E24" s="225"/>
      <c r="F24" s="225"/>
      <c r="G24" s="225">
        <v>0</v>
      </c>
      <c r="H24" s="225">
        <v>0</v>
      </c>
      <c r="I24" s="225"/>
      <c r="J24" s="225">
        <v>0</v>
      </c>
      <c r="K24" s="225"/>
      <c r="L24" s="225"/>
      <c r="M24" s="225">
        <v>0</v>
      </c>
      <c r="N24" s="225"/>
    </row>
    <row r="25" spans="1:14" s="223" customFormat="1" ht="24.75" customHeight="1">
      <c r="A25" s="224" t="s">
        <v>269</v>
      </c>
      <c r="B25" s="224"/>
      <c r="C25" s="224">
        <v>359700</v>
      </c>
      <c r="D25" s="225"/>
      <c r="E25" s="247"/>
      <c r="F25" s="225"/>
      <c r="G25" s="225">
        <v>0</v>
      </c>
      <c r="H25" s="225">
        <v>0</v>
      </c>
      <c r="I25" s="225"/>
      <c r="J25" s="225">
        <v>0</v>
      </c>
      <c r="K25" s="225"/>
      <c r="L25" s="225"/>
      <c r="M25" s="225">
        <v>0</v>
      </c>
      <c r="N25" s="225"/>
    </row>
    <row r="26" spans="1:14" s="223" customFormat="1" ht="24.75" customHeight="1">
      <c r="A26" s="224" t="s">
        <v>271</v>
      </c>
      <c r="B26" s="224"/>
      <c r="C26" s="224">
        <v>16895</v>
      </c>
      <c r="D26" s="225"/>
      <c r="E26" s="247"/>
      <c r="F26" s="225"/>
      <c r="G26" s="225">
        <v>0</v>
      </c>
      <c r="H26" s="225">
        <v>0</v>
      </c>
      <c r="I26" s="225"/>
      <c r="J26" s="225">
        <v>0</v>
      </c>
      <c r="K26" s="225"/>
      <c r="L26" s="225"/>
      <c r="M26" s="225">
        <v>0</v>
      </c>
      <c r="N26" s="225"/>
    </row>
    <row r="27" spans="1:14" s="223" customFormat="1" ht="24.75" customHeight="1">
      <c r="A27" s="224" t="s">
        <v>272</v>
      </c>
      <c r="B27" s="248"/>
      <c r="C27" s="248">
        <v>215900</v>
      </c>
      <c r="D27" s="225"/>
      <c r="E27" s="247"/>
      <c r="F27" s="224"/>
      <c r="G27" s="247"/>
      <c r="H27" s="225"/>
      <c r="I27" s="225"/>
      <c r="J27" s="225"/>
      <c r="K27" s="225"/>
      <c r="L27" s="225"/>
      <c r="M27" s="225"/>
      <c r="N27" s="225"/>
    </row>
    <row r="28" spans="1:14" s="223" customFormat="1" ht="24.75" customHeight="1">
      <c r="A28" s="224" t="s">
        <v>273</v>
      </c>
      <c r="B28" s="224"/>
      <c r="C28" s="224">
        <v>77000</v>
      </c>
      <c r="D28" s="225"/>
      <c r="E28" s="247"/>
      <c r="F28" s="225"/>
      <c r="G28" s="225">
        <v>0</v>
      </c>
      <c r="H28" s="225">
        <v>0</v>
      </c>
      <c r="I28" s="225"/>
      <c r="J28" s="225">
        <v>0</v>
      </c>
      <c r="K28" s="225"/>
      <c r="L28" s="225"/>
      <c r="M28" s="225">
        <v>0</v>
      </c>
      <c r="N28" s="225"/>
    </row>
    <row r="29" spans="1:14" s="223" customFormat="1" ht="24.75" customHeight="1">
      <c r="A29" s="249" t="s">
        <v>266</v>
      </c>
      <c r="B29" s="250"/>
      <c r="C29" s="249">
        <v>1522000</v>
      </c>
      <c r="D29" s="251"/>
      <c r="E29" s="252"/>
      <c r="F29" s="252"/>
      <c r="G29" s="252"/>
      <c r="H29" s="251"/>
      <c r="I29" s="251"/>
      <c r="J29" s="251"/>
      <c r="K29" s="251"/>
      <c r="L29" s="251"/>
      <c r="M29" s="251"/>
      <c r="N29" s="251"/>
    </row>
    <row r="30" spans="1:14" s="223" customFormat="1" ht="24.75" customHeight="1">
      <c r="A30" s="249" t="s">
        <v>268</v>
      </c>
      <c r="B30" s="250"/>
      <c r="C30" s="249">
        <v>4127000</v>
      </c>
      <c r="D30" s="251"/>
      <c r="E30" s="252"/>
      <c r="F30" s="252"/>
      <c r="G30" s="252"/>
      <c r="H30" s="251"/>
      <c r="I30" s="251"/>
      <c r="J30" s="251"/>
      <c r="K30" s="251"/>
      <c r="L30" s="251"/>
      <c r="M30" s="251"/>
      <c r="N30" s="251"/>
    </row>
    <row r="31" spans="1:14" s="223" customFormat="1" ht="24.75" customHeight="1">
      <c r="A31" s="249" t="s">
        <v>270</v>
      </c>
      <c r="B31" s="250"/>
      <c r="C31" s="249">
        <v>898000</v>
      </c>
      <c r="D31" s="251"/>
      <c r="E31" s="252"/>
      <c r="F31" s="252"/>
      <c r="G31" s="252"/>
      <c r="H31" s="251"/>
      <c r="I31" s="251"/>
      <c r="J31" s="251"/>
      <c r="K31" s="251"/>
      <c r="L31" s="251"/>
      <c r="M31" s="251"/>
      <c r="N31" s="251"/>
    </row>
    <row r="32" spans="1:14" s="223" customFormat="1" ht="24.75" customHeight="1">
      <c r="A32" s="249"/>
      <c r="B32" s="250"/>
      <c r="C32" s="249"/>
      <c r="D32" s="251"/>
      <c r="E32" s="252"/>
      <c r="F32" s="252"/>
      <c r="G32" s="252"/>
      <c r="H32" s="251"/>
      <c r="I32" s="251"/>
      <c r="J32" s="251"/>
      <c r="K32" s="251"/>
      <c r="L32" s="251"/>
      <c r="M32" s="251"/>
      <c r="N32" s="251"/>
    </row>
    <row r="33" spans="1:14" s="223" customFormat="1" ht="24.75" customHeight="1" thickBot="1">
      <c r="A33" s="226" t="s">
        <v>102</v>
      </c>
      <c r="B33" s="227"/>
      <c r="C33" s="227">
        <f>SUM(C21:C32)</f>
        <v>17744126.939999998</v>
      </c>
      <c r="D33" s="227">
        <f>SUM(D20:D32)</f>
        <v>0</v>
      </c>
      <c r="E33" s="227">
        <f>SUM(E20:E28)</f>
        <v>0</v>
      </c>
      <c r="F33" s="228">
        <f>SUM(F22:F32)</f>
        <v>0</v>
      </c>
      <c r="G33" s="228">
        <f>SUM(G22:G32)</f>
        <v>0</v>
      </c>
      <c r="H33" s="228">
        <f>SUM(H22:H32)</f>
        <v>0</v>
      </c>
      <c r="I33" s="228">
        <f>SUM(I22:I32)</f>
        <v>0</v>
      </c>
      <c r="J33" s="228">
        <f>SUM(J22:J32)</f>
        <v>0</v>
      </c>
      <c r="K33" s="228"/>
      <c r="L33" s="228"/>
      <c r="M33" s="228">
        <f>SUM(M22:M32)</f>
        <v>0</v>
      </c>
      <c r="N33" s="228">
        <f>SUM(N22:N32)</f>
        <v>0</v>
      </c>
    </row>
    <row r="34" spans="1:3" s="236" customFormat="1" ht="24.75" customHeight="1" thickBot="1" thickTop="1">
      <c r="A34" s="236" t="s">
        <v>252</v>
      </c>
      <c r="C34" s="253">
        <f>+C33-C19</f>
        <v>10530</v>
      </c>
    </row>
    <row r="35" s="236" customFormat="1" ht="24.75" customHeight="1" thickTop="1">
      <c r="C35" s="230"/>
    </row>
    <row r="36" s="236" customFormat="1" ht="24.75" customHeight="1">
      <c r="C36" s="230"/>
    </row>
    <row r="37" s="236" customFormat="1" ht="24.75" customHeight="1">
      <c r="C37" s="230"/>
    </row>
    <row r="38" spans="1:10" s="229" customFormat="1" ht="18.75">
      <c r="A38" s="255" t="s">
        <v>255</v>
      </c>
      <c r="C38" s="254" t="s">
        <v>254</v>
      </c>
      <c r="D38" s="233"/>
      <c r="G38" s="233"/>
      <c r="H38" s="233"/>
      <c r="I38" s="254" t="s">
        <v>253</v>
      </c>
      <c r="J38" s="233"/>
    </row>
    <row r="39" spans="1:9" ht="19.5">
      <c r="A39" s="255" t="s">
        <v>236</v>
      </c>
      <c r="C39" s="254" t="s">
        <v>235</v>
      </c>
      <c r="I39" s="256" t="s">
        <v>256</v>
      </c>
    </row>
    <row r="40" spans="1:9" ht="19.5">
      <c r="A40" s="255" t="s">
        <v>238</v>
      </c>
      <c r="C40" s="254" t="s">
        <v>237</v>
      </c>
      <c r="I40" s="256" t="s">
        <v>257</v>
      </c>
    </row>
  </sheetData>
  <sheetProtection/>
  <mergeCells count="13">
    <mergeCell ref="D5:D6"/>
    <mergeCell ref="F5:F6"/>
    <mergeCell ref="G5:G6"/>
    <mergeCell ref="A1:N1"/>
    <mergeCell ref="A2:N2"/>
    <mergeCell ref="A3:N3"/>
    <mergeCell ref="H5:H6"/>
    <mergeCell ref="M5:M6"/>
    <mergeCell ref="N5:N6"/>
    <mergeCell ref="L5:L6"/>
    <mergeCell ref="A5:A6"/>
    <mergeCell ref="B5:B6"/>
    <mergeCell ref="C5:C6"/>
  </mergeCells>
  <printOptions/>
  <pageMargins left="0.49" right="0.15748031496062992" top="0.64" bottom="0.1968503937007874" header="0.11811023622047245" footer="0.11811023622047245"/>
  <pageSetup horizontalDpi="600" verticalDpi="6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B1:K34"/>
  <sheetViews>
    <sheetView zoomScalePageLayoutView="0" workbookViewId="0" topLeftCell="A1">
      <selection activeCell="N20" sqref="N20"/>
    </sheetView>
  </sheetViews>
  <sheetFormatPr defaultColWidth="9.140625" defaultRowHeight="21.75"/>
  <cols>
    <col min="1" max="1" width="5.57421875" style="232" customWidth="1"/>
    <col min="2" max="2" width="11.00390625" style="232" customWidth="1"/>
    <col min="3" max="3" width="12.00390625" style="232" bestFit="1" customWidth="1"/>
    <col min="4" max="4" width="30.00390625" style="232" bestFit="1" customWidth="1"/>
    <col min="5" max="5" width="19.140625" style="232" customWidth="1"/>
    <col min="6" max="6" width="14.140625" style="232" customWidth="1"/>
    <col min="7" max="10" width="9.140625" style="232" customWidth="1"/>
    <col min="11" max="11" width="14.140625" style="232" bestFit="1" customWidth="1"/>
    <col min="12" max="12" width="9.28125" style="232" bestFit="1" customWidth="1"/>
    <col min="13" max="16384" width="9.140625" style="232" customWidth="1"/>
  </cols>
  <sheetData>
    <row r="1" spans="2:6" ht="21">
      <c r="B1" s="259" t="s">
        <v>275</v>
      </c>
      <c r="F1" s="260"/>
    </row>
    <row r="2" spans="2:6" ht="11.25" customHeight="1">
      <c r="B2" s="259"/>
      <c r="F2" s="260"/>
    </row>
    <row r="3" spans="2:6" ht="21">
      <c r="B3" s="232" t="s">
        <v>276</v>
      </c>
      <c r="C3" s="232" t="s">
        <v>11</v>
      </c>
      <c r="F3" s="260"/>
    </row>
    <row r="4" spans="4:6" ht="21">
      <c r="D4" s="232" t="s">
        <v>277</v>
      </c>
      <c r="F4" s="260">
        <f>+รับ!C8</f>
        <v>739453.5</v>
      </c>
    </row>
    <row r="5" spans="4:6" ht="21">
      <c r="D5" s="232" t="s">
        <v>278</v>
      </c>
      <c r="F5" s="260">
        <f>+อุดหนุน!C8</f>
        <v>8755895</v>
      </c>
    </row>
    <row r="6" spans="5:6" ht="21.75" thickBot="1">
      <c r="E6" s="232" t="s">
        <v>33</v>
      </c>
      <c r="F6" s="261">
        <f>SUM(F4:F5)</f>
        <v>9495348.5</v>
      </c>
    </row>
    <row r="7" ht="21.75" thickTop="1">
      <c r="F7" s="262"/>
    </row>
    <row r="8" spans="2:6" ht="21">
      <c r="B8" s="232" t="s">
        <v>279</v>
      </c>
      <c r="C8" s="232" t="s">
        <v>106</v>
      </c>
      <c r="F8" s="260"/>
    </row>
    <row r="9" spans="4:6" ht="21">
      <c r="D9" s="232" t="s">
        <v>277</v>
      </c>
      <c r="F9" s="260">
        <f>+รับ!C10</f>
        <v>5986553.55</v>
      </c>
    </row>
    <row r="10" spans="4:6" ht="21">
      <c r="D10" s="232" t="s">
        <v>278</v>
      </c>
      <c r="F10" s="260">
        <f>+อุดหนุน!C10</f>
        <v>1093301.94</v>
      </c>
    </row>
    <row r="11" spans="5:6" ht="21.75" thickBot="1">
      <c r="E11" s="232" t="s">
        <v>33</v>
      </c>
      <c r="F11" s="261">
        <f>SUM(F9:F10)</f>
        <v>7079855.49</v>
      </c>
    </row>
    <row r="12" ht="21.75" thickTop="1">
      <c r="F12" s="262"/>
    </row>
    <row r="13" spans="2:6" ht="21">
      <c r="B13" s="232" t="s">
        <v>280</v>
      </c>
      <c r="C13" s="232" t="s">
        <v>13</v>
      </c>
      <c r="F13" s="260"/>
    </row>
    <row r="14" spans="4:6" ht="21">
      <c r="D14" s="232" t="s">
        <v>277</v>
      </c>
      <c r="F14" s="260">
        <f>+รับ!C12</f>
        <v>2223143.06</v>
      </c>
    </row>
    <row r="15" spans="4:6" ht="21">
      <c r="D15" s="232" t="s">
        <v>278</v>
      </c>
      <c r="F15" s="260">
        <f>+อุดหนุน!C12</f>
        <v>77000</v>
      </c>
    </row>
    <row r="16" spans="5:6" ht="21.75" thickBot="1">
      <c r="E16" s="232" t="s">
        <v>33</v>
      </c>
      <c r="F16" s="261">
        <f>SUM(F14:F15)</f>
        <v>2300143.06</v>
      </c>
    </row>
    <row r="17" ht="21.75" thickTop="1">
      <c r="F17" s="262"/>
    </row>
    <row r="18" spans="2:6" ht="21">
      <c r="B18" s="232" t="s">
        <v>281</v>
      </c>
      <c r="C18" s="232" t="s">
        <v>14</v>
      </c>
      <c r="F18" s="260"/>
    </row>
    <row r="19" spans="4:6" ht="21">
      <c r="D19" s="232" t="s">
        <v>277</v>
      </c>
      <c r="F19" s="260">
        <f>+รับ!C13</f>
        <v>3069029.92</v>
      </c>
    </row>
    <row r="20" spans="4:6" ht="21">
      <c r="D20" s="232" t="s">
        <v>278</v>
      </c>
      <c r="F20" s="260">
        <f>+อุดหนุน!C13</f>
        <v>215900</v>
      </c>
    </row>
    <row r="21" spans="5:6" ht="21.75" thickBot="1">
      <c r="E21" s="232" t="s">
        <v>33</v>
      </c>
      <c r="F21" s="261">
        <f>SUM(F19:F20)</f>
        <v>3284929.92</v>
      </c>
    </row>
    <row r="22" ht="21.75" thickTop="1">
      <c r="F22" s="262"/>
    </row>
    <row r="23" spans="2:6" ht="21">
      <c r="B23" s="232" t="s">
        <v>282</v>
      </c>
      <c r="C23" s="232" t="s">
        <v>17</v>
      </c>
      <c r="F23" s="260"/>
    </row>
    <row r="24" spans="4:6" ht="21">
      <c r="D24" s="232" t="s">
        <v>277</v>
      </c>
      <c r="F24" s="260">
        <f>+รับ!C15</f>
        <v>771156.55</v>
      </c>
    </row>
    <row r="25" spans="4:6" ht="21">
      <c r="D25" s="232" t="s">
        <v>278</v>
      </c>
      <c r="F25" s="260">
        <f>+อุดหนุน!C15</f>
        <v>898000</v>
      </c>
    </row>
    <row r="26" spans="5:6" ht="21.75" thickBot="1">
      <c r="E26" s="232" t="s">
        <v>33</v>
      </c>
      <c r="F26" s="261">
        <f>SUM(F24:F25)</f>
        <v>1669156.55</v>
      </c>
    </row>
    <row r="27" spans="6:11" ht="21.75" thickTop="1">
      <c r="F27" s="260"/>
      <c r="K27" s="260"/>
    </row>
    <row r="28" spans="2:6" ht="21">
      <c r="B28" s="232" t="s">
        <v>287</v>
      </c>
      <c r="C28" s="232" t="s">
        <v>18</v>
      </c>
      <c r="F28" s="260"/>
    </row>
    <row r="29" spans="4:6" ht="21">
      <c r="D29" s="232" t="s">
        <v>277</v>
      </c>
      <c r="F29" s="260">
        <f>+รับ!C16</f>
        <v>3217200</v>
      </c>
    </row>
    <row r="30" spans="4:6" ht="21">
      <c r="D30" s="232" t="s">
        <v>278</v>
      </c>
      <c r="F30" s="260">
        <f>+อุดหนุน!C16</f>
        <v>6693500</v>
      </c>
    </row>
    <row r="31" spans="5:6" ht="21.75" thickBot="1">
      <c r="E31" s="232" t="s">
        <v>33</v>
      </c>
      <c r="F31" s="261">
        <f>SUM(F29:F30)</f>
        <v>9910700</v>
      </c>
    </row>
    <row r="32" spans="6:11" ht="21.75" thickTop="1">
      <c r="F32" s="260"/>
      <c r="K32" s="260"/>
    </row>
    <row r="33" ht="21">
      <c r="F33" s="260"/>
    </row>
    <row r="34" ht="21">
      <c r="F34" s="260"/>
    </row>
  </sheetData>
  <sheetProtection/>
  <printOptions/>
  <pageMargins left="0.7" right="0.16" top="0.8" bottom="0.37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C00FF"/>
  </sheetPr>
  <dimension ref="A1:N37"/>
  <sheetViews>
    <sheetView zoomScalePageLayoutView="0" workbookViewId="0" topLeftCell="A1">
      <pane xSplit="1" ySplit="7" topLeftCell="B8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L39" sqref="L39"/>
    </sheetView>
  </sheetViews>
  <sheetFormatPr defaultColWidth="9.140625" defaultRowHeight="22.5" customHeight="1"/>
  <cols>
    <col min="1" max="1" width="30.00390625" style="263" customWidth="1"/>
    <col min="2" max="2" width="15.421875" style="263" customWidth="1"/>
    <col min="3" max="3" width="15.28125" style="263" customWidth="1"/>
    <col min="4" max="6" width="14.140625" style="263" customWidth="1"/>
    <col min="7" max="7" width="11.28125" style="263" customWidth="1"/>
    <col min="8" max="14" width="14.140625" style="263" customWidth="1"/>
    <col min="15" max="16384" width="9.140625" style="263" customWidth="1"/>
  </cols>
  <sheetData>
    <row r="1" spans="1:14" ht="22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22.5" customHeight="1">
      <c r="A2" s="593" t="s">
        <v>472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</row>
    <row r="3" spans="1:14" ht="22.5" customHeight="1">
      <c r="A3" s="593" t="str">
        <f>+'รับ+อุดหนุน'!A3</f>
        <v>ตั้งแต่วันที่ 1 ตุลาคม 2557  ถึงวันที่ 30 กันยายน 2558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</row>
    <row r="4" spans="1:14" ht="11.2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5"/>
    </row>
    <row r="5" spans="1:14" s="268" customFormat="1" ht="22.5" customHeight="1">
      <c r="A5" s="591" t="s">
        <v>2</v>
      </c>
      <c r="B5" s="591" t="s">
        <v>24</v>
      </c>
      <c r="C5" s="591" t="s">
        <v>33</v>
      </c>
      <c r="D5" s="591" t="s">
        <v>220</v>
      </c>
      <c r="E5" s="383" t="s">
        <v>221</v>
      </c>
      <c r="F5" s="591" t="s">
        <v>222</v>
      </c>
      <c r="G5" s="591" t="s">
        <v>223</v>
      </c>
      <c r="H5" s="591" t="s">
        <v>224</v>
      </c>
      <c r="I5" s="266" t="s">
        <v>225</v>
      </c>
      <c r="J5" s="383" t="s">
        <v>262</v>
      </c>
      <c r="K5" s="383" t="s">
        <v>227</v>
      </c>
      <c r="L5" s="591" t="s">
        <v>263</v>
      </c>
      <c r="M5" s="591" t="s">
        <v>264</v>
      </c>
      <c r="N5" s="591" t="s">
        <v>11</v>
      </c>
    </row>
    <row r="6" spans="1:14" s="268" customFormat="1" ht="22.5" customHeight="1">
      <c r="A6" s="592"/>
      <c r="B6" s="592"/>
      <c r="C6" s="592"/>
      <c r="D6" s="592"/>
      <c r="E6" s="384" t="s">
        <v>228</v>
      </c>
      <c r="F6" s="592"/>
      <c r="G6" s="592"/>
      <c r="H6" s="592"/>
      <c r="I6" s="270" t="s">
        <v>261</v>
      </c>
      <c r="J6" s="384" t="s">
        <v>229</v>
      </c>
      <c r="K6" s="384" t="s">
        <v>248</v>
      </c>
      <c r="L6" s="592"/>
      <c r="M6" s="592"/>
      <c r="N6" s="601"/>
    </row>
    <row r="7" spans="1:14" s="274" customFormat="1" ht="22.5" customHeight="1">
      <c r="A7" s="271" t="s">
        <v>103</v>
      </c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</row>
    <row r="8" spans="1:14" s="274" customFormat="1" ht="22.5" customHeight="1">
      <c r="A8" s="220" t="s">
        <v>11</v>
      </c>
      <c r="B8" s="276">
        <v>995625</v>
      </c>
      <c r="C8" s="275">
        <f aca="true" t="shared" si="0" ref="C8:C17">SUM(D8:N8)</f>
        <v>739453.5</v>
      </c>
      <c r="D8" s="275">
        <f>+รับ!D8+เงินสะสม!C9</f>
        <v>0</v>
      </c>
      <c r="E8" s="275">
        <f>+รับ!E8+เงินสะสม!D9</f>
        <v>0</v>
      </c>
      <c r="F8" s="275">
        <f>+รับ!F8+เงินสะสม!E9</f>
        <v>0</v>
      </c>
      <c r="G8" s="275">
        <f>+รับ!G8+เงินสะสม!F9</f>
        <v>0</v>
      </c>
      <c r="H8" s="275">
        <f>+รับ!H8+เงินสะสม!G9</f>
        <v>0</v>
      </c>
      <c r="I8" s="275">
        <f>+รับ!I8+เงินสะสม!H9</f>
        <v>0</v>
      </c>
      <c r="J8" s="275">
        <f>+รับ!J8+เงินสะสม!I9</f>
        <v>0</v>
      </c>
      <c r="K8" s="275">
        <f>+รับ!K8+เงินสะสม!J9</f>
        <v>0</v>
      </c>
      <c r="L8" s="275">
        <f>+รับ!L8+เงินสะสม!K9</f>
        <v>0</v>
      </c>
      <c r="M8" s="275">
        <f>+รับ!M8+เงินสะสม!L9</f>
        <v>0</v>
      </c>
      <c r="N8" s="275">
        <f>+รับ!N8+เงินสะสม!M9</f>
        <v>739453.5</v>
      </c>
    </row>
    <row r="9" spans="1:14" s="274" customFormat="1" ht="22.5" customHeight="1">
      <c r="A9" s="220" t="s">
        <v>105</v>
      </c>
      <c r="B9" s="276">
        <f>695520+120000+120000+198720+1490400</f>
        <v>2624640</v>
      </c>
      <c r="C9" s="275">
        <f t="shared" si="0"/>
        <v>2573134.84</v>
      </c>
      <c r="D9" s="275">
        <f>+รับ!D9+เงินสะสม!C10</f>
        <v>2573134.84</v>
      </c>
      <c r="E9" s="275">
        <f>+รับ!E9+เงินสะสม!D10</f>
        <v>0</v>
      </c>
      <c r="F9" s="275">
        <f>+รับ!F9+เงินสะสม!E10</f>
        <v>0</v>
      </c>
      <c r="G9" s="275">
        <f>+รับ!G9+เงินสะสม!F10</f>
        <v>0</v>
      </c>
      <c r="H9" s="275">
        <f>+รับ!H9+เงินสะสม!G10</f>
        <v>0</v>
      </c>
      <c r="I9" s="275">
        <f>+รับ!I9+เงินสะสม!H10</f>
        <v>0</v>
      </c>
      <c r="J9" s="275">
        <f>+รับ!J9+เงินสะสม!I10</f>
        <v>0</v>
      </c>
      <c r="K9" s="275">
        <f>+รับ!K9+เงินสะสม!J10</f>
        <v>0</v>
      </c>
      <c r="L9" s="275">
        <f>+รับ!L9+เงินสะสม!K10</f>
        <v>0</v>
      </c>
      <c r="M9" s="275">
        <f>+รับ!M9+เงินสะสม!L10</f>
        <v>0</v>
      </c>
      <c r="N9" s="275">
        <f>+รับ!N9+เงินสะสม!M10</f>
        <v>0</v>
      </c>
    </row>
    <row r="10" spans="1:14" s="274" customFormat="1" ht="22.5" customHeight="1">
      <c r="A10" s="220" t="s">
        <v>106</v>
      </c>
      <c r="B10" s="276">
        <f>7282760+342760+2442315-2624640</f>
        <v>7443195</v>
      </c>
      <c r="C10" s="275">
        <f t="shared" si="0"/>
        <v>6292178.38</v>
      </c>
      <c r="D10" s="275">
        <f>+รับ!D10+เงินสะสม!C11</f>
        <v>5450349.93</v>
      </c>
      <c r="E10" s="275">
        <f>+รับ!E10+เงินสะสม!D11</f>
        <v>0</v>
      </c>
      <c r="F10" s="275">
        <f>+รับ!F10+เงินสะสม!E11</f>
        <v>0</v>
      </c>
      <c r="G10" s="275">
        <f>+รับ!G10+เงินสะสม!F11</f>
        <v>0</v>
      </c>
      <c r="H10" s="275">
        <f>+รับ!H10+เงินสะสม!G11</f>
        <v>841828.45</v>
      </c>
      <c r="I10" s="275">
        <f>+รับ!I10+เงินสะสม!H11</f>
        <v>0</v>
      </c>
      <c r="J10" s="275">
        <f>+รับ!J10+เงินสะสม!I11</f>
        <v>0</v>
      </c>
      <c r="K10" s="275">
        <f>+รับ!K10+เงินสะสม!J11</f>
        <v>0</v>
      </c>
      <c r="L10" s="275">
        <f>+รับ!L10+เงินสะสม!K11</f>
        <v>0</v>
      </c>
      <c r="M10" s="275">
        <f>+รับ!M10+เงินสะสม!L11</f>
        <v>0</v>
      </c>
      <c r="N10" s="275">
        <f>+รับ!N10+เงินสะสม!M11</f>
        <v>0</v>
      </c>
    </row>
    <row r="11" spans="1:14" s="274" customFormat="1" ht="22.5" customHeight="1">
      <c r="A11" s="220" t="s">
        <v>12</v>
      </c>
      <c r="B11" s="276">
        <v>350000</v>
      </c>
      <c r="C11" s="275">
        <f t="shared" si="0"/>
        <v>148173</v>
      </c>
      <c r="D11" s="275">
        <f>+รับ!D11+เงินสะสม!C12</f>
        <v>142923</v>
      </c>
      <c r="E11" s="275">
        <f>+รับ!E11+เงินสะสม!D12</f>
        <v>0</v>
      </c>
      <c r="F11" s="275">
        <f>+รับ!F11+เงินสะสม!E12</f>
        <v>0</v>
      </c>
      <c r="G11" s="275">
        <f>+รับ!G11+เงินสะสม!F12</f>
        <v>0</v>
      </c>
      <c r="H11" s="275">
        <f>+รับ!H11+เงินสะสม!G12</f>
        <v>5250</v>
      </c>
      <c r="I11" s="275">
        <f>+รับ!I11+เงินสะสม!H12</f>
        <v>0</v>
      </c>
      <c r="J11" s="275">
        <f>+รับ!J11+เงินสะสม!I12</f>
        <v>0</v>
      </c>
      <c r="K11" s="275">
        <f>+รับ!K11+เงินสะสม!J12</f>
        <v>0</v>
      </c>
      <c r="L11" s="275">
        <f>+รับ!L11+เงินสะสม!K12</f>
        <v>0</v>
      </c>
      <c r="M11" s="275">
        <f>+รับ!M11+เงินสะสม!L12</f>
        <v>0</v>
      </c>
      <c r="N11" s="275">
        <f>+รับ!N11+เงินสะสม!M12</f>
        <v>0</v>
      </c>
    </row>
    <row r="12" spans="1:14" s="274" customFormat="1" ht="22.5" customHeight="1">
      <c r="A12" s="220" t="s">
        <v>13</v>
      </c>
      <c r="B12" s="276">
        <v>3919850</v>
      </c>
      <c r="C12" s="275">
        <f t="shared" si="0"/>
        <v>2241343.06</v>
      </c>
      <c r="D12" s="275">
        <f>+รับ!D12+เงินสะสม!C13</f>
        <v>996283.65</v>
      </c>
      <c r="E12" s="275">
        <f>+รับ!E12+เงินสะสม!D13</f>
        <v>9561</v>
      </c>
      <c r="F12" s="275">
        <f>+รับ!F12+เงินสะสม!E13</f>
        <v>571299.25</v>
      </c>
      <c r="G12" s="275">
        <f>+รับ!G12+เงินสะสม!F13</f>
        <v>0</v>
      </c>
      <c r="H12" s="275">
        <f>+รับ!H12+เงินสะสม!G13</f>
        <v>398689.16000000003</v>
      </c>
      <c r="I12" s="275">
        <f>+รับ!I12+เงินสะสม!H13</f>
        <v>29989</v>
      </c>
      <c r="J12" s="275">
        <f>+รับ!J12+เงินสะสม!I13</f>
        <v>216981</v>
      </c>
      <c r="K12" s="275">
        <f>+รับ!K12+เงินสะสม!J13</f>
        <v>0</v>
      </c>
      <c r="L12" s="275">
        <f>+รับ!L12+เงินสะสม!K13</f>
        <v>9975</v>
      </c>
      <c r="M12" s="275">
        <f>+รับ!M12+เงินสะสม!L13</f>
        <v>8565</v>
      </c>
      <c r="N12" s="275">
        <f>+รับ!N12+เงินสะสม!M13</f>
        <v>0</v>
      </c>
    </row>
    <row r="13" spans="1:14" s="274" customFormat="1" ht="22.5" customHeight="1">
      <c r="A13" s="220" t="s">
        <v>14</v>
      </c>
      <c r="B13" s="276">
        <v>3589490</v>
      </c>
      <c r="C13" s="275">
        <f t="shared" si="0"/>
        <v>3069029.92</v>
      </c>
      <c r="D13" s="275">
        <f>+รับ!D13+เงินสะสม!C14</f>
        <v>512514.23999999993</v>
      </c>
      <c r="E13" s="275">
        <f>+รับ!E13+เงินสะสม!D14</f>
        <v>0</v>
      </c>
      <c r="F13" s="275">
        <f>+รับ!F13+เงินสะสม!E14</f>
        <v>1877442.54</v>
      </c>
      <c r="G13" s="275">
        <f>+รับ!G13+เงินสะสม!F14</f>
        <v>181550</v>
      </c>
      <c r="H13" s="275">
        <f>+รับ!H13+เงินสะสม!G14</f>
        <v>358728.14</v>
      </c>
      <c r="I13" s="275">
        <f>+รับ!I13+เงินสะสม!H14</f>
        <v>0</v>
      </c>
      <c r="J13" s="275">
        <f>+รับ!J13+เงินสะสม!I14</f>
        <v>96184</v>
      </c>
      <c r="K13" s="275">
        <f>+รับ!K13+เงินสะสม!J14</f>
        <v>0</v>
      </c>
      <c r="L13" s="275">
        <f>+รับ!L13+เงินสะสม!K14</f>
        <v>2520</v>
      </c>
      <c r="M13" s="275">
        <f>+รับ!M13+เงินสะสม!L14</f>
        <v>40091</v>
      </c>
      <c r="N13" s="275">
        <f>+รับ!N13+เงินสะสม!M14</f>
        <v>0</v>
      </c>
    </row>
    <row r="14" spans="1:14" s="274" customFormat="1" ht="22.5" customHeight="1">
      <c r="A14" s="220" t="s">
        <v>15</v>
      </c>
      <c r="B14" s="276">
        <v>960000</v>
      </c>
      <c r="C14" s="275">
        <f t="shared" si="0"/>
        <v>880674.62</v>
      </c>
      <c r="D14" s="275">
        <f>+รับ!D14+เงินสะสม!C15</f>
        <v>238530.00999999998</v>
      </c>
      <c r="E14" s="275">
        <f>+รับ!E14+เงินสะสม!D15</f>
        <v>0</v>
      </c>
      <c r="F14" s="275">
        <f>+รับ!F14+เงินสะสม!E15</f>
        <v>0</v>
      </c>
      <c r="G14" s="275">
        <f>+รับ!G14+เงินสะสม!F15</f>
        <v>0</v>
      </c>
      <c r="H14" s="275">
        <f>+รับ!H14+เงินสะสม!G15</f>
        <v>0</v>
      </c>
      <c r="I14" s="275">
        <f>+รับ!I14+เงินสะสม!H15</f>
        <v>0</v>
      </c>
      <c r="J14" s="275">
        <f>+รับ!J14+เงินสะสม!I15</f>
        <v>0</v>
      </c>
      <c r="K14" s="275">
        <f>+รับ!K14+เงินสะสม!J15</f>
        <v>0</v>
      </c>
      <c r="L14" s="275">
        <f>+รับ!L14+เงินสะสม!K15</f>
        <v>0</v>
      </c>
      <c r="M14" s="275">
        <f>+รับ!M14+เงินสะสม!L15</f>
        <v>642144.61</v>
      </c>
      <c r="N14" s="275">
        <f>+รับ!N14+เงินสะสม!M15</f>
        <v>0</v>
      </c>
    </row>
    <row r="15" spans="1:14" s="274" customFormat="1" ht="22.5" customHeight="1">
      <c r="A15" s="220" t="s">
        <v>17</v>
      </c>
      <c r="B15" s="276">
        <v>933000</v>
      </c>
      <c r="C15" s="275">
        <f t="shared" si="0"/>
        <v>771156.55</v>
      </c>
      <c r="D15" s="275">
        <f>+รับ!D15+เงินสะสม!C16</f>
        <v>129206.55</v>
      </c>
      <c r="E15" s="275">
        <f>+รับ!E15+เงินสะสม!D16</f>
        <v>0</v>
      </c>
      <c r="F15" s="275">
        <f>+รับ!F15+เงินสะสม!E16</f>
        <v>0</v>
      </c>
      <c r="G15" s="275">
        <f>+รับ!G15+เงินสะสม!F16</f>
        <v>0</v>
      </c>
      <c r="H15" s="275">
        <f>+รับ!H15+เงินสะสม!G16</f>
        <v>632470</v>
      </c>
      <c r="I15" s="275">
        <f>+รับ!I15+เงินสะสม!H16</f>
        <v>0</v>
      </c>
      <c r="J15" s="275">
        <f>+รับ!J15+เงินสะสม!I16</f>
        <v>0</v>
      </c>
      <c r="K15" s="275">
        <f>+รับ!K15+เงินสะสม!J16</f>
        <v>0</v>
      </c>
      <c r="L15" s="275">
        <f>+รับ!L15+เงินสะสม!K16</f>
        <v>0</v>
      </c>
      <c r="M15" s="275">
        <f>+รับ!M15+เงินสะสม!L16</f>
        <v>9480</v>
      </c>
      <c r="N15" s="275">
        <f>+รับ!N15+เงินสะสม!M16</f>
        <v>0</v>
      </c>
    </row>
    <row r="16" spans="1:14" s="274" customFormat="1" ht="22.5" customHeight="1">
      <c r="A16" s="220" t="s">
        <v>18</v>
      </c>
      <c r="B16" s="276">
        <v>3359200</v>
      </c>
      <c r="C16" s="275">
        <f t="shared" si="0"/>
        <v>3563700</v>
      </c>
      <c r="D16" s="275">
        <f>+รับ!D16+เงินสะสม!C17</f>
        <v>0</v>
      </c>
      <c r="E16" s="275">
        <f>+รับ!E16+เงินสะสม!D17</f>
        <v>0</v>
      </c>
      <c r="F16" s="275">
        <f>+รับ!F16+เงินสะสม!E17</f>
        <v>0</v>
      </c>
      <c r="G16" s="275">
        <f>+รับ!G16+เงินสะสม!F17</f>
        <v>0</v>
      </c>
      <c r="H16" s="275">
        <f>+รับ!H16+เงินสะสม!G17</f>
        <v>0</v>
      </c>
      <c r="I16" s="275">
        <f>+รับ!I16+เงินสะสม!H17</f>
        <v>0</v>
      </c>
      <c r="J16" s="275">
        <f>+รับ!J16+เงินสะสม!I17</f>
        <v>0</v>
      </c>
      <c r="K16" s="275">
        <f>+รับ!K16+เงินสะสม!J17</f>
        <v>3563700</v>
      </c>
      <c r="L16" s="275">
        <f>+รับ!L16+เงินสะสม!K17</f>
        <v>0</v>
      </c>
      <c r="M16" s="275">
        <f>+รับ!M16+เงินสะสม!L17</f>
        <v>0</v>
      </c>
      <c r="N16" s="275">
        <f>+รับ!N16+เงินสะสม!M17</f>
        <v>0</v>
      </c>
    </row>
    <row r="17" spans="1:14" s="274" customFormat="1" ht="22.5" customHeight="1">
      <c r="A17" s="218" t="s">
        <v>16</v>
      </c>
      <c r="B17" s="278">
        <v>3825000</v>
      </c>
      <c r="C17" s="275">
        <f t="shared" si="0"/>
        <v>3728700</v>
      </c>
      <c r="D17" s="275">
        <f>+รับ!D17+เงินสะสม!C18</f>
        <v>0</v>
      </c>
      <c r="E17" s="275">
        <f>+รับ!E17+เงินสะสม!D18</f>
        <v>0</v>
      </c>
      <c r="F17" s="275">
        <f>+รับ!F17+เงินสะสม!E18</f>
        <v>3612000</v>
      </c>
      <c r="G17" s="275">
        <f>+รับ!G17+เงินสะสม!F18</f>
        <v>81700</v>
      </c>
      <c r="H17" s="275">
        <f>+รับ!H17+เงินสะสม!G18</f>
        <v>0</v>
      </c>
      <c r="I17" s="275">
        <f>+รับ!I17+เงินสะสม!H18</f>
        <v>10000</v>
      </c>
      <c r="J17" s="275">
        <f>+รับ!J17+เงินสะสม!I18</f>
        <v>25000</v>
      </c>
      <c r="K17" s="275">
        <f>+รับ!K17+เงินสะสม!J18</f>
        <v>0</v>
      </c>
      <c r="L17" s="275">
        <f>+รับ!L17+เงินสะสม!K18</f>
        <v>0</v>
      </c>
      <c r="M17" s="275">
        <f>+รับ!M17+เงินสะสม!L18</f>
        <v>0</v>
      </c>
      <c r="N17" s="275">
        <f>+รับ!N17+เงินสะสม!M18</f>
        <v>0</v>
      </c>
    </row>
    <row r="18" spans="1:14" s="274" customFormat="1" ht="22.5" customHeight="1">
      <c r="A18" s="273"/>
      <c r="B18" s="272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</row>
    <row r="19" spans="1:14" s="281" customFormat="1" ht="22.5" customHeight="1" thickBot="1">
      <c r="A19" s="279" t="s">
        <v>33</v>
      </c>
      <c r="B19" s="280">
        <f aca="true" t="shared" si="1" ref="B19:J19">SUM(B8:B17)</f>
        <v>28000000</v>
      </c>
      <c r="C19" s="280">
        <f t="shared" si="1"/>
        <v>24007543.869999997</v>
      </c>
      <c r="D19" s="280">
        <f t="shared" si="1"/>
        <v>10042942.22</v>
      </c>
      <c r="E19" s="280">
        <f t="shared" si="1"/>
        <v>9561</v>
      </c>
      <c r="F19" s="280">
        <f t="shared" si="1"/>
        <v>6060741.79</v>
      </c>
      <c r="G19" s="280">
        <f t="shared" si="1"/>
        <v>263250</v>
      </c>
      <c r="H19" s="280">
        <f t="shared" si="1"/>
        <v>2236965.75</v>
      </c>
      <c r="I19" s="280">
        <f t="shared" si="1"/>
        <v>39989</v>
      </c>
      <c r="J19" s="280">
        <f t="shared" si="1"/>
        <v>338165</v>
      </c>
      <c r="K19" s="280"/>
      <c r="L19" s="280"/>
      <c r="M19" s="280">
        <f>SUM(M8:M17)</f>
        <v>700280.61</v>
      </c>
      <c r="N19" s="280">
        <f>SUM(N8:N17)</f>
        <v>739453.5</v>
      </c>
    </row>
    <row r="20" spans="1:14" s="289" customFormat="1" ht="22.5" customHeight="1" thickTop="1">
      <c r="A20" s="284" t="s">
        <v>104</v>
      </c>
      <c r="B20" s="285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</row>
    <row r="21" spans="1:14" s="289" customFormat="1" ht="22.5" customHeight="1">
      <c r="A21" s="288" t="s">
        <v>97</v>
      </c>
      <c r="B21" s="288">
        <v>240000</v>
      </c>
      <c r="C21" s="288">
        <v>312307.52</v>
      </c>
      <c r="D21" s="287">
        <v>0</v>
      </c>
      <c r="E21" s="287">
        <v>0</v>
      </c>
      <c r="F21" s="287">
        <v>0</v>
      </c>
      <c r="G21" s="287">
        <v>0</v>
      </c>
      <c r="H21" s="287">
        <v>0</v>
      </c>
      <c r="I21" s="287">
        <v>0</v>
      </c>
      <c r="J21" s="287">
        <v>0</v>
      </c>
      <c r="K21" s="287">
        <v>0</v>
      </c>
      <c r="L21" s="287">
        <v>0</v>
      </c>
      <c r="M21" s="287">
        <v>0</v>
      </c>
      <c r="N21" s="287">
        <v>0</v>
      </c>
    </row>
    <row r="22" spans="1:14" s="289" customFormat="1" ht="22.5" customHeight="1">
      <c r="A22" s="288" t="s">
        <v>98</v>
      </c>
      <c r="B22" s="288">
        <v>137000</v>
      </c>
      <c r="C22" s="288">
        <v>234427.5</v>
      </c>
      <c r="D22" s="287">
        <v>0</v>
      </c>
      <c r="E22" s="287">
        <v>0</v>
      </c>
      <c r="F22" s="287">
        <v>0</v>
      </c>
      <c r="G22" s="287">
        <v>0</v>
      </c>
      <c r="H22" s="287">
        <v>0</v>
      </c>
      <c r="I22" s="287">
        <v>0</v>
      </c>
      <c r="J22" s="287">
        <v>0</v>
      </c>
      <c r="K22" s="287">
        <v>0</v>
      </c>
      <c r="L22" s="287">
        <v>0</v>
      </c>
      <c r="M22" s="287">
        <v>0</v>
      </c>
      <c r="N22" s="287">
        <v>0</v>
      </c>
    </row>
    <row r="23" spans="1:14" s="289" customFormat="1" ht="22.5" customHeight="1">
      <c r="A23" s="288" t="s">
        <v>232</v>
      </c>
      <c r="B23" s="288">
        <v>410000</v>
      </c>
      <c r="C23" s="288">
        <v>849064</v>
      </c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287">
        <v>0</v>
      </c>
      <c r="L23" s="287">
        <v>0</v>
      </c>
      <c r="M23" s="287">
        <v>0</v>
      </c>
      <c r="N23" s="287">
        <v>0</v>
      </c>
    </row>
    <row r="24" spans="1:14" s="289" customFormat="1" ht="22.5" customHeight="1">
      <c r="A24" s="288" t="s">
        <v>99</v>
      </c>
      <c r="B24" s="288">
        <v>441000</v>
      </c>
      <c r="C24" s="288">
        <v>414445.21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  <c r="I24" s="287">
        <v>0</v>
      </c>
      <c r="J24" s="287">
        <v>0</v>
      </c>
      <c r="K24" s="287">
        <v>0</v>
      </c>
      <c r="L24" s="287">
        <v>0</v>
      </c>
      <c r="M24" s="287">
        <v>0</v>
      </c>
      <c r="N24" s="287">
        <v>0</v>
      </c>
    </row>
    <row r="25" spans="1:14" s="289" customFormat="1" ht="22.5" customHeight="1">
      <c r="A25" s="288" t="s">
        <v>100</v>
      </c>
      <c r="B25" s="288">
        <v>52000</v>
      </c>
      <c r="C25" s="288">
        <v>129840</v>
      </c>
      <c r="D25" s="287">
        <v>0</v>
      </c>
      <c r="E25" s="287">
        <v>0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  <c r="N25" s="287">
        <v>0</v>
      </c>
    </row>
    <row r="26" spans="1:14" s="289" customFormat="1" ht="22.5" customHeight="1">
      <c r="A26" s="288" t="s">
        <v>101</v>
      </c>
      <c r="B26" s="288">
        <v>10000</v>
      </c>
      <c r="C26" s="288">
        <v>0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0</v>
      </c>
      <c r="L26" s="287">
        <v>0</v>
      </c>
      <c r="M26" s="287">
        <v>0</v>
      </c>
      <c r="N26" s="287">
        <v>0</v>
      </c>
    </row>
    <row r="27" spans="1:14" s="289" customFormat="1" ht="22.5" customHeight="1">
      <c r="A27" s="288" t="s">
        <v>233</v>
      </c>
      <c r="B27" s="288">
        <v>15710000</v>
      </c>
      <c r="C27" s="288">
        <v>17567427.02</v>
      </c>
      <c r="D27" s="287">
        <v>0</v>
      </c>
      <c r="E27" s="287">
        <v>0</v>
      </c>
      <c r="F27" s="287">
        <v>0</v>
      </c>
      <c r="G27" s="287">
        <v>0</v>
      </c>
      <c r="H27" s="287">
        <v>0</v>
      </c>
      <c r="I27" s="287">
        <v>0</v>
      </c>
      <c r="J27" s="287">
        <v>0</v>
      </c>
      <c r="K27" s="287">
        <v>0</v>
      </c>
      <c r="L27" s="287">
        <v>0</v>
      </c>
      <c r="M27" s="287">
        <v>0</v>
      </c>
      <c r="N27" s="287">
        <v>0</v>
      </c>
    </row>
    <row r="28" spans="1:14" s="289" customFormat="1" ht="22.5" customHeight="1">
      <c r="A28" s="288" t="s">
        <v>292</v>
      </c>
      <c r="B28" s="288">
        <v>11000000</v>
      </c>
      <c r="C28" s="288">
        <f>4920541+42000+1890560+4319200+12000+81708</f>
        <v>11266009</v>
      </c>
      <c r="D28" s="287">
        <v>0</v>
      </c>
      <c r="E28" s="287">
        <v>0</v>
      </c>
      <c r="F28" s="287">
        <v>0</v>
      </c>
      <c r="G28" s="287">
        <v>0</v>
      </c>
      <c r="H28" s="287">
        <v>0</v>
      </c>
      <c r="I28" s="287">
        <v>0</v>
      </c>
      <c r="J28" s="287">
        <v>0</v>
      </c>
      <c r="K28" s="287">
        <v>0</v>
      </c>
      <c r="L28" s="287">
        <v>0</v>
      </c>
      <c r="M28" s="287">
        <v>0</v>
      </c>
      <c r="N28" s="287">
        <v>0</v>
      </c>
    </row>
    <row r="29" spans="1:14" s="289" customFormat="1" ht="22.5" customHeight="1">
      <c r="A29" s="288" t="s">
        <v>140</v>
      </c>
      <c r="B29" s="290">
        <v>0</v>
      </c>
      <c r="C29" s="291">
        <v>0</v>
      </c>
      <c r="D29" s="287">
        <v>0</v>
      </c>
      <c r="E29" s="287">
        <v>0</v>
      </c>
      <c r="F29" s="287">
        <v>0</v>
      </c>
      <c r="G29" s="287">
        <v>0</v>
      </c>
      <c r="H29" s="287">
        <v>0</v>
      </c>
      <c r="I29" s="287">
        <v>0</v>
      </c>
      <c r="J29" s="287">
        <v>0</v>
      </c>
      <c r="K29" s="287">
        <v>0</v>
      </c>
      <c r="L29" s="287">
        <v>0</v>
      </c>
      <c r="M29" s="287">
        <v>0</v>
      </c>
      <c r="N29" s="287">
        <v>0</v>
      </c>
    </row>
    <row r="30" spans="1:14" s="289" customFormat="1" ht="22.5" customHeight="1">
      <c r="A30" s="288" t="s">
        <v>259</v>
      </c>
      <c r="B30" s="290">
        <v>0</v>
      </c>
      <c r="C30" s="291">
        <v>0</v>
      </c>
      <c r="D30" s="287">
        <v>0</v>
      </c>
      <c r="E30" s="287">
        <v>0</v>
      </c>
      <c r="F30" s="287">
        <v>0</v>
      </c>
      <c r="G30" s="287">
        <v>0</v>
      </c>
      <c r="H30" s="287">
        <v>0</v>
      </c>
      <c r="I30" s="287">
        <v>0</v>
      </c>
      <c r="J30" s="287">
        <v>0</v>
      </c>
      <c r="K30" s="287">
        <v>0</v>
      </c>
      <c r="L30" s="287">
        <v>0</v>
      </c>
      <c r="M30" s="287">
        <v>0</v>
      </c>
      <c r="N30" s="287">
        <v>0</v>
      </c>
    </row>
    <row r="31" spans="1:14" s="289" customFormat="1" ht="22.5" customHeight="1">
      <c r="A31" s="292" t="s">
        <v>148</v>
      </c>
      <c r="B31" s="293">
        <v>0</v>
      </c>
      <c r="C31" s="294">
        <v>0</v>
      </c>
      <c r="D31" s="287">
        <v>0</v>
      </c>
      <c r="E31" s="287">
        <v>0</v>
      </c>
      <c r="F31" s="287">
        <v>0</v>
      </c>
      <c r="G31" s="287">
        <v>0</v>
      </c>
      <c r="H31" s="287">
        <v>0</v>
      </c>
      <c r="I31" s="287">
        <v>0</v>
      </c>
      <c r="J31" s="287">
        <v>0</v>
      </c>
      <c r="K31" s="287">
        <v>0</v>
      </c>
      <c r="L31" s="287">
        <v>0</v>
      </c>
      <c r="M31" s="287">
        <v>0</v>
      </c>
      <c r="N31" s="287">
        <v>0</v>
      </c>
    </row>
    <row r="32" spans="1:14" s="289" customFormat="1" ht="22.5" customHeight="1" thickBot="1">
      <c r="A32" s="295" t="s">
        <v>102</v>
      </c>
      <c r="B32" s="296">
        <f>SUM(B21:B31)</f>
        <v>28000000</v>
      </c>
      <c r="C32" s="297">
        <f>SUM(C21:C31)</f>
        <v>30773520.25</v>
      </c>
      <c r="D32" s="296">
        <f>SUM(D21:D31)</f>
        <v>0</v>
      </c>
      <c r="E32" s="296">
        <f aca="true" t="shared" si="2" ref="E32:N32">SUM(E21:E31)</f>
        <v>0</v>
      </c>
      <c r="F32" s="296">
        <f t="shared" si="2"/>
        <v>0</v>
      </c>
      <c r="G32" s="296">
        <f t="shared" si="2"/>
        <v>0</v>
      </c>
      <c r="H32" s="296">
        <f t="shared" si="2"/>
        <v>0</v>
      </c>
      <c r="I32" s="296">
        <f t="shared" si="2"/>
        <v>0</v>
      </c>
      <c r="J32" s="296">
        <f t="shared" si="2"/>
        <v>0</v>
      </c>
      <c r="K32" s="296">
        <f t="shared" si="2"/>
        <v>0</v>
      </c>
      <c r="L32" s="296">
        <f t="shared" si="2"/>
        <v>0</v>
      </c>
      <c r="M32" s="296">
        <f t="shared" si="2"/>
        <v>0</v>
      </c>
      <c r="N32" s="297">
        <f t="shared" si="2"/>
        <v>0</v>
      </c>
    </row>
    <row r="33" spans="1:8" s="289" customFormat="1" ht="22.5" customHeight="1" thickBot="1" thickTop="1">
      <c r="A33" s="289" t="s">
        <v>234</v>
      </c>
      <c r="C33" s="298">
        <f>+C32-C19</f>
        <v>6765976.380000003</v>
      </c>
      <c r="D33" s="299"/>
      <c r="F33" s="299"/>
      <c r="H33" s="300"/>
    </row>
    <row r="34" spans="3:8" s="289" customFormat="1" ht="22.5" customHeight="1" thickTop="1">
      <c r="C34" s="301"/>
      <c r="D34" s="299"/>
      <c r="F34" s="299"/>
      <c r="H34" s="300"/>
    </row>
    <row r="35" spans="4:11" ht="22.5" customHeight="1">
      <c r="D35" s="605" t="s">
        <v>245</v>
      </c>
      <c r="E35" s="605"/>
      <c r="G35" s="603" t="s">
        <v>246</v>
      </c>
      <c r="H35" s="603"/>
      <c r="J35" s="602" t="s">
        <v>247</v>
      </c>
      <c r="K35" s="602"/>
    </row>
    <row r="36" spans="4:11" ht="22.5" customHeight="1">
      <c r="D36" s="604" t="s">
        <v>242</v>
      </c>
      <c r="E36" s="604"/>
      <c r="G36" s="604" t="s">
        <v>243</v>
      </c>
      <c r="H36" s="604"/>
      <c r="J36" s="606" t="s">
        <v>244</v>
      </c>
      <c r="K36" s="606"/>
    </row>
    <row r="37" spans="4:11" ht="22.5" customHeight="1">
      <c r="D37" s="604" t="s">
        <v>239</v>
      </c>
      <c r="E37" s="604"/>
      <c r="G37" s="604" t="s">
        <v>240</v>
      </c>
      <c r="H37" s="604"/>
      <c r="J37" s="606" t="s">
        <v>241</v>
      </c>
      <c r="K37" s="606"/>
    </row>
  </sheetData>
  <sheetProtection/>
  <mergeCells count="22">
    <mergeCell ref="A1:N1"/>
    <mergeCell ref="A2:N2"/>
    <mergeCell ref="A3:N3"/>
    <mergeCell ref="D36:E36"/>
    <mergeCell ref="N5:N6"/>
    <mergeCell ref="A5:A6"/>
    <mergeCell ref="F5:F6"/>
    <mergeCell ref="G5:G6"/>
    <mergeCell ref="B5:B6"/>
    <mergeCell ref="C5:C6"/>
    <mergeCell ref="D35:E35"/>
    <mergeCell ref="D5:D6"/>
    <mergeCell ref="J37:K37"/>
    <mergeCell ref="G37:H37"/>
    <mergeCell ref="D37:E37"/>
    <mergeCell ref="H5:H6"/>
    <mergeCell ref="L5:L6"/>
    <mergeCell ref="M5:M6"/>
    <mergeCell ref="J35:K35"/>
    <mergeCell ref="G35:H35"/>
    <mergeCell ref="J36:K36"/>
    <mergeCell ref="G36:H36"/>
  </mergeCells>
  <printOptions/>
  <pageMargins left="0.31" right="0.16" top="0.22" bottom="0.15748031496062992" header="0.11811023622047245" footer="0.11811023622047245"/>
  <pageSetup horizontalDpi="180" verticalDpi="18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35"/>
  <sheetViews>
    <sheetView zoomScalePageLayoutView="0" workbookViewId="0" topLeftCell="A1">
      <selection activeCell="F21" sqref="F21"/>
    </sheetView>
  </sheetViews>
  <sheetFormatPr defaultColWidth="9.140625" defaultRowHeight="21.75"/>
  <cols>
    <col min="1" max="1" width="6.57421875" style="8" customWidth="1"/>
    <col min="2" max="5" width="15.7109375" style="1" customWidth="1"/>
    <col min="6" max="6" width="15.7109375" style="10" customWidth="1"/>
    <col min="7" max="7" width="15.28125" style="10" customWidth="1"/>
    <col min="8" max="8" width="13.57421875" style="1" bestFit="1" customWidth="1"/>
    <col min="9" max="9" width="13.421875" style="8" bestFit="1" customWidth="1"/>
    <col min="10" max="16384" width="9.140625" style="8" customWidth="1"/>
  </cols>
  <sheetData>
    <row r="1" spans="1:9" ht="21">
      <c r="A1" s="556" t="s">
        <v>0</v>
      </c>
      <c r="B1" s="556"/>
      <c r="C1" s="556"/>
      <c r="D1" s="556"/>
      <c r="E1" s="556"/>
      <c r="F1" s="556"/>
      <c r="G1" s="71"/>
      <c r="H1" s="71"/>
      <c r="I1" s="1"/>
    </row>
    <row r="2" spans="1:9" ht="21">
      <c r="A2" s="557" t="str">
        <f>+แนบ2!A2:F2</f>
        <v>รายละเอียดประกอบงบทดลอง</v>
      </c>
      <c r="B2" s="557"/>
      <c r="C2" s="557"/>
      <c r="D2" s="557"/>
      <c r="E2" s="557"/>
      <c r="F2" s="557"/>
      <c r="G2" s="72"/>
      <c r="H2" s="72"/>
      <c r="I2" s="1"/>
    </row>
    <row r="3" spans="1:9" ht="21">
      <c r="A3" s="558" t="str">
        <f>+'หมายเหตุ 1 รายรับจริง'!A3:G3</f>
        <v>ณ  วันที่  30 กันยายน 2558</v>
      </c>
      <c r="B3" s="558"/>
      <c r="C3" s="558"/>
      <c r="D3" s="558"/>
      <c r="E3" s="558"/>
      <c r="F3" s="558"/>
      <c r="G3" s="73"/>
      <c r="H3" s="73"/>
      <c r="I3" s="1"/>
    </row>
    <row r="4" spans="1:8" ht="21">
      <c r="A4" s="5"/>
      <c r="B4" s="2"/>
      <c r="C4" s="2"/>
      <c r="D4" s="2"/>
      <c r="E4" s="74"/>
      <c r="H4" s="8"/>
    </row>
    <row r="5" spans="1:6" ht="21">
      <c r="A5" s="200" t="s">
        <v>206</v>
      </c>
      <c r="B5" s="2"/>
      <c r="C5" s="2"/>
      <c r="D5" s="2"/>
      <c r="F5" s="9"/>
    </row>
    <row r="6" spans="1:6" ht="21">
      <c r="A6" s="202" t="s">
        <v>207</v>
      </c>
      <c r="B6" s="2"/>
      <c r="C6" s="2"/>
      <c r="D6" s="2"/>
      <c r="F6" s="204" t="s">
        <v>1</v>
      </c>
    </row>
    <row r="7" spans="1:8" ht="21">
      <c r="A7" s="200"/>
      <c r="B7" s="74" t="s">
        <v>13</v>
      </c>
      <c r="C7" s="203"/>
      <c r="D7" s="203"/>
      <c r="E7" s="74"/>
      <c r="F7" s="10">
        <f>+แนบ2!E19</f>
        <v>98486.5</v>
      </c>
      <c r="H7" s="8"/>
    </row>
    <row r="8" spans="1:6" ht="21">
      <c r="A8" s="200"/>
      <c r="B8" s="74" t="s">
        <v>14</v>
      </c>
      <c r="C8" s="203"/>
      <c r="D8" s="203"/>
      <c r="F8" s="206">
        <f>+แนบ2!E25</f>
        <v>877603.9400000001</v>
      </c>
    </row>
    <row r="9" spans="1:6" ht="21">
      <c r="A9" s="200"/>
      <c r="B9" s="74" t="s">
        <v>17</v>
      </c>
      <c r="C9" s="203"/>
      <c r="D9" s="203"/>
      <c r="F9" s="206">
        <f>+แนบ2!E38</f>
        <v>1206700</v>
      </c>
    </row>
    <row r="10" spans="1:6" ht="21">
      <c r="A10" s="201"/>
      <c r="B10" s="74" t="s">
        <v>18</v>
      </c>
      <c r="F10" s="10">
        <f>+แนบ2!E44</f>
        <v>1845200</v>
      </c>
    </row>
    <row r="11" spans="1:6" ht="21.75" thickBot="1">
      <c r="A11" s="201"/>
      <c r="B11" s="74"/>
      <c r="E11" s="203" t="s">
        <v>33</v>
      </c>
      <c r="F11" s="205">
        <f>SUM(F7:F10)</f>
        <v>4027990.44</v>
      </c>
    </row>
    <row r="12" spans="1:5" ht="21.75" thickTop="1">
      <c r="A12" s="200"/>
      <c r="B12" s="74"/>
      <c r="C12" s="203"/>
      <c r="D12" s="203"/>
      <c r="E12" s="203"/>
    </row>
    <row r="13" spans="1:6" ht="21">
      <c r="A13" s="200" t="s">
        <v>208</v>
      </c>
      <c r="B13" s="2"/>
      <c r="C13" s="2"/>
      <c r="D13" s="2"/>
      <c r="F13" s="9"/>
    </row>
    <row r="14" spans="1:6" ht="21">
      <c r="A14" s="202" t="s">
        <v>207</v>
      </c>
      <c r="B14" s="2"/>
      <c r="C14" s="2"/>
      <c r="D14" s="2"/>
      <c r="F14" s="204" t="s">
        <v>1</v>
      </c>
    </row>
    <row r="15" spans="1:6" ht="21">
      <c r="A15" s="200"/>
      <c r="B15" s="74" t="s">
        <v>12</v>
      </c>
      <c r="C15" s="203"/>
      <c r="D15" s="203"/>
      <c r="F15" s="206">
        <v>5250</v>
      </c>
    </row>
    <row r="16" spans="1:8" ht="21">
      <c r="A16" s="200"/>
      <c r="B16" s="74" t="s">
        <v>13</v>
      </c>
      <c r="C16" s="203"/>
      <c r="D16" s="203"/>
      <c r="E16" s="74"/>
      <c r="F16" s="10">
        <v>7694.08</v>
      </c>
      <c r="H16" s="8"/>
    </row>
    <row r="17" spans="1:6" ht="21">
      <c r="A17" s="200"/>
      <c r="B17" s="74" t="s">
        <v>14</v>
      </c>
      <c r="C17" s="203"/>
      <c r="D17" s="203"/>
      <c r="F17" s="206">
        <v>111307.8</v>
      </c>
    </row>
    <row r="18" spans="1:6" ht="21.75" thickBot="1">
      <c r="A18" s="201"/>
      <c r="B18" s="74"/>
      <c r="E18" s="203" t="s">
        <v>33</v>
      </c>
      <c r="F18" s="205">
        <f>SUM(F15:F17)</f>
        <v>124251.88</v>
      </c>
    </row>
    <row r="19" spans="1:2" ht="21.75" thickTop="1">
      <c r="A19" s="201"/>
      <c r="B19" s="74"/>
    </row>
    <row r="20" spans="1:6" ht="21">
      <c r="A20" s="200" t="s">
        <v>211</v>
      </c>
      <c r="B20" s="2"/>
      <c r="C20" s="2"/>
      <c r="D20" s="2"/>
      <c r="F20" s="9"/>
    </row>
    <row r="21" spans="1:6" ht="21">
      <c r="A21" s="202"/>
      <c r="B21" s="2"/>
      <c r="C21" s="2"/>
      <c r="D21" s="2"/>
      <c r="F21" s="204" t="s">
        <v>1</v>
      </c>
    </row>
    <row r="22" spans="1:6" ht="21">
      <c r="A22" s="201" t="s">
        <v>125</v>
      </c>
      <c r="B22" s="74"/>
      <c r="C22" s="203"/>
      <c r="D22" s="203"/>
      <c r="F22" s="206">
        <v>18363.659999999996</v>
      </c>
    </row>
    <row r="23" spans="1:8" ht="21">
      <c r="A23" s="201" t="s">
        <v>95</v>
      </c>
      <c r="B23" s="74"/>
      <c r="C23" s="203"/>
      <c r="D23" s="203"/>
      <c r="E23" s="74"/>
      <c r="F23" s="10">
        <v>238104.2</v>
      </c>
      <c r="H23" s="8"/>
    </row>
    <row r="24" spans="1:6" ht="21">
      <c r="A24" s="201" t="s">
        <v>122</v>
      </c>
      <c r="B24" s="74"/>
      <c r="C24" s="203"/>
      <c r="D24" s="203"/>
      <c r="E24" s="74"/>
      <c r="F24" s="10">
        <v>10356</v>
      </c>
    </row>
    <row r="25" spans="1:6" ht="21">
      <c r="A25" s="201" t="s">
        <v>126</v>
      </c>
      <c r="B25" s="74"/>
      <c r="E25" s="74"/>
      <c r="F25" s="10">
        <v>2826.0399999999995</v>
      </c>
    </row>
    <row r="26" spans="1:6" ht="21">
      <c r="A26" s="201" t="s">
        <v>124</v>
      </c>
      <c r="B26" s="74"/>
      <c r="E26" s="74"/>
      <c r="F26" s="10">
        <v>9600</v>
      </c>
    </row>
    <row r="27" spans="1:6" ht="21">
      <c r="A27" s="201" t="s">
        <v>159</v>
      </c>
      <c r="B27" s="74"/>
      <c r="F27" s="206">
        <v>167916</v>
      </c>
    </row>
    <row r="28" spans="1:6" ht="21.75" thickBot="1">
      <c r="A28" s="201"/>
      <c r="B28" s="74"/>
      <c r="E28" s="203" t="s">
        <v>33</v>
      </c>
      <c r="F28" s="205">
        <f>SUM(F22:F27)</f>
        <v>447165.89999999997</v>
      </c>
    </row>
    <row r="29" spans="1:9" s="10" customFormat="1" ht="21.75" thickTop="1">
      <c r="A29" s="201"/>
      <c r="B29" s="74"/>
      <c r="C29" s="1"/>
      <c r="D29" s="1"/>
      <c r="E29" s="1"/>
      <c r="H29" s="1"/>
      <c r="I29" s="8"/>
    </row>
    <row r="30" spans="1:9" s="10" customFormat="1" ht="21">
      <c r="A30" s="201"/>
      <c r="B30" s="74"/>
      <c r="C30" s="1"/>
      <c r="D30" s="1"/>
      <c r="E30" s="1"/>
      <c r="H30" s="1"/>
      <c r="I30" s="8"/>
    </row>
    <row r="31" spans="1:9" s="10" customFormat="1" ht="21">
      <c r="A31" s="201"/>
      <c r="B31" s="74"/>
      <c r="C31" s="1"/>
      <c r="D31" s="1"/>
      <c r="E31" s="1"/>
      <c r="H31" s="1"/>
      <c r="I31" s="8"/>
    </row>
    <row r="32" spans="1:2" ht="21">
      <c r="A32" s="201"/>
      <c r="B32" s="74"/>
    </row>
    <row r="33" spans="1:2" ht="21">
      <c r="A33" s="201"/>
      <c r="B33" s="74"/>
    </row>
    <row r="34" ht="21">
      <c r="A34" s="201"/>
    </row>
    <row r="35" ht="21">
      <c r="A35" s="201"/>
    </row>
  </sheetData>
  <sheetProtection/>
  <mergeCells count="3">
    <mergeCell ref="A1:F1"/>
    <mergeCell ref="A2:F2"/>
    <mergeCell ref="A3:F3"/>
  </mergeCells>
  <printOptions/>
  <pageMargins left="1.26" right="0.15748031496062992" top="0.7" bottom="0" header="0.16" footer="0.19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45"/>
  <sheetViews>
    <sheetView zoomScalePageLayoutView="0" workbookViewId="0" topLeftCell="A1">
      <pane ySplit="7" topLeftCell="A8" activePane="bottomLeft" state="frozen"/>
      <selection pane="topLeft" activeCell="H39" sqref="H39"/>
      <selection pane="bottomLeft" activeCell="A5" sqref="A5"/>
    </sheetView>
  </sheetViews>
  <sheetFormatPr defaultColWidth="9.140625" defaultRowHeight="21.75"/>
  <cols>
    <col min="1" max="1" width="49.421875" style="80" customWidth="1"/>
    <col min="2" max="3" width="14.7109375" style="96" customWidth="1"/>
    <col min="4" max="4" width="12.7109375" style="96" bestFit="1" customWidth="1"/>
    <col min="5" max="5" width="14.57421875" style="96" bestFit="1" customWidth="1"/>
    <col min="6" max="6" width="10.7109375" style="80" customWidth="1"/>
    <col min="7" max="7" width="9.140625" style="80" customWidth="1"/>
    <col min="8" max="9" width="12.421875" style="1" bestFit="1" customWidth="1"/>
    <col min="10" max="10" width="14.57421875" style="1" bestFit="1" customWidth="1"/>
    <col min="11" max="11" width="12.421875" style="1" bestFit="1" customWidth="1"/>
    <col min="12" max="12" width="14.140625" style="1" bestFit="1" customWidth="1"/>
    <col min="13" max="16384" width="9.140625" style="80" customWidth="1"/>
  </cols>
  <sheetData>
    <row r="1" spans="1:12" s="78" customFormat="1" ht="21">
      <c r="A1" s="559" t="s">
        <v>0</v>
      </c>
      <c r="B1" s="559"/>
      <c r="C1" s="559"/>
      <c r="D1" s="559"/>
      <c r="E1" s="559"/>
      <c r="F1" s="559"/>
      <c r="H1" s="148"/>
      <c r="I1" s="148"/>
      <c r="J1" s="148"/>
      <c r="K1" s="148"/>
      <c r="L1" s="148"/>
    </row>
    <row r="2" spans="1:12" s="78" customFormat="1" ht="21">
      <c r="A2" s="559" t="s">
        <v>114</v>
      </c>
      <c r="B2" s="559"/>
      <c r="C2" s="559"/>
      <c r="D2" s="559"/>
      <c r="E2" s="559"/>
      <c r="F2" s="559"/>
      <c r="H2" s="148"/>
      <c r="I2" s="148"/>
      <c r="J2" s="148"/>
      <c r="K2" s="148"/>
      <c r="L2" s="148"/>
    </row>
    <row r="3" spans="1:12" s="78" customFormat="1" ht="21">
      <c r="A3" s="559" t="str">
        <f>+'หมายเหตุ 1 รายรับจริง'!A3:G3</f>
        <v>ณ  วันที่  30 กันยายน 2558</v>
      </c>
      <c r="B3" s="559"/>
      <c r="C3" s="559"/>
      <c r="D3" s="559"/>
      <c r="E3" s="559"/>
      <c r="F3" s="559"/>
      <c r="H3" s="148"/>
      <c r="I3" s="148"/>
      <c r="J3" s="148"/>
      <c r="K3" s="148"/>
      <c r="L3" s="148"/>
    </row>
    <row r="4" spans="1:5" ht="21">
      <c r="A4" s="149" t="s">
        <v>205</v>
      </c>
      <c r="B4" s="79"/>
      <c r="C4" s="80"/>
      <c r="D4" s="80"/>
      <c r="E4" s="80"/>
    </row>
    <row r="5" spans="1:5" ht="9.75" customHeight="1">
      <c r="A5" s="77"/>
      <c r="B5" s="79"/>
      <c r="C5" s="80"/>
      <c r="D5" s="80"/>
      <c r="E5" s="80"/>
    </row>
    <row r="6" spans="1:6" ht="21">
      <c r="A6" s="81" t="s">
        <v>115</v>
      </c>
      <c r="B6" s="560" t="s">
        <v>168</v>
      </c>
      <c r="C6" s="560"/>
      <c r="D6" s="561" t="s">
        <v>116</v>
      </c>
      <c r="E6" s="82" t="s">
        <v>94</v>
      </c>
      <c r="F6" s="562" t="s">
        <v>117</v>
      </c>
    </row>
    <row r="7" spans="1:6" ht="21">
      <c r="A7" s="83" t="s">
        <v>118</v>
      </c>
      <c r="B7" s="82" t="s">
        <v>119</v>
      </c>
      <c r="C7" s="84" t="s">
        <v>120</v>
      </c>
      <c r="D7" s="561"/>
      <c r="E7" s="82" t="s">
        <v>157</v>
      </c>
      <c r="F7" s="562"/>
    </row>
    <row r="8" spans="1:6" ht="21">
      <c r="A8" s="93" t="s">
        <v>13</v>
      </c>
      <c r="B8" s="90"/>
      <c r="C8" s="90"/>
      <c r="D8" s="90"/>
      <c r="E8" s="90"/>
      <c r="F8" s="91"/>
    </row>
    <row r="9" spans="1:6" ht="21">
      <c r="A9" s="150" t="s">
        <v>169</v>
      </c>
      <c r="B9" s="85">
        <v>15286.5</v>
      </c>
      <c r="C9" s="85">
        <v>0</v>
      </c>
      <c r="D9" s="85">
        <v>0</v>
      </c>
      <c r="E9" s="85">
        <f aca="true" t="shared" si="0" ref="E9:E18">+B9-D9</f>
        <v>15286.5</v>
      </c>
      <c r="F9" s="86"/>
    </row>
    <row r="10" spans="1:6" ht="21">
      <c r="A10" s="150" t="s">
        <v>170</v>
      </c>
      <c r="B10" s="85">
        <v>4200</v>
      </c>
      <c r="C10" s="85">
        <v>0</v>
      </c>
      <c r="D10" s="85">
        <v>0</v>
      </c>
      <c r="E10" s="85">
        <f t="shared" si="0"/>
        <v>4200</v>
      </c>
      <c r="F10" s="86"/>
    </row>
    <row r="11" spans="1:6" ht="21">
      <c r="A11" s="150" t="s">
        <v>171</v>
      </c>
      <c r="B11" s="85">
        <v>7700</v>
      </c>
      <c r="C11" s="85">
        <v>0</v>
      </c>
      <c r="D11" s="85">
        <v>0</v>
      </c>
      <c r="E11" s="85">
        <f t="shared" si="0"/>
        <v>7700</v>
      </c>
      <c r="F11" s="86"/>
    </row>
    <row r="12" spans="1:6" ht="21">
      <c r="A12" s="150" t="s">
        <v>173</v>
      </c>
      <c r="B12" s="85">
        <v>9000</v>
      </c>
      <c r="C12" s="85">
        <v>0</v>
      </c>
      <c r="D12" s="85">
        <v>0</v>
      </c>
      <c r="E12" s="85">
        <f t="shared" si="0"/>
        <v>9000</v>
      </c>
      <c r="F12" s="86"/>
    </row>
    <row r="13" spans="1:6" ht="21">
      <c r="A13" s="150" t="s">
        <v>173</v>
      </c>
      <c r="B13" s="85">
        <v>10500</v>
      </c>
      <c r="C13" s="85">
        <v>0</v>
      </c>
      <c r="D13" s="85">
        <v>0</v>
      </c>
      <c r="E13" s="85">
        <f t="shared" si="0"/>
        <v>10500</v>
      </c>
      <c r="F13" s="86"/>
    </row>
    <row r="14" spans="1:6" ht="21">
      <c r="A14" s="150" t="s">
        <v>178</v>
      </c>
      <c r="B14" s="85">
        <v>7700</v>
      </c>
      <c r="C14" s="85">
        <v>0</v>
      </c>
      <c r="D14" s="85">
        <v>0</v>
      </c>
      <c r="E14" s="85">
        <f t="shared" si="0"/>
        <v>7700</v>
      </c>
      <c r="F14" s="86"/>
    </row>
    <row r="15" spans="1:6" ht="21">
      <c r="A15" s="150" t="s">
        <v>179</v>
      </c>
      <c r="B15" s="85">
        <v>7700</v>
      </c>
      <c r="C15" s="85">
        <v>0</v>
      </c>
      <c r="D15" s="85">
        <v>0</v>
      </c>
      <c r="E15" s="85">
        <f t="shared" si="0"/>
        <v>7700</v>
      </c>
      <c r="F15" s="86"/>
    </row>
    <row r="16" spans="1:6" ht="21">
      <c r="A16" s="94" t="s">
        <v>180</v>
      </c>
      <c r="B16" s="85">
        <v>9000</v>
      </c>
      <c r="C16" s="85">
        <v>0</v>
      </c>
      <c r="D16" s="85">
        <v>0</v>
      </c>
      <c r="E16" s="85">
        <f t="shared" si="0"/>
        <v>9000</v>
      </c>
      <c r="F16" s="86"/>
    </row>
    <row r="17" spans="1:6" ht="21">
      <c r="A17" s="150" t="s">
        <v>128</v>
      </c>
      <c r="B17" s="87">
        <v>8800</v>
      </c>
      <c r="C17" s="85">
        <v>0</v>
      </c>
      <c r="D17" s="85">
        <v>0</v>
      </c>
      <c r="E17" s="87">
        <f t="shared" si="0"/>
        <v>8800</v>
      </c>
      <c r="F17" s="86"/>
    </row>
    <row r="18" spans="1:6" ht="21">
      <c r="A18" s="150" t="s">
        <v>182</v>
      </c>
      <c r="B18" s="87">
        <f>9300+9300</f>
        <v>18600</v>
      </c>
      <c r="C18" s="85">
        <v>0</v>
      </c>
      <c r="D18" s="85">
        <v>0</v>
      </c>
      <c r="E18" s="87">
        <f t="shared" si="0"/>
        <v>18600</v>
      </c>
      <c r="F18" s="86"/>
    </row>
    <row r="19" spans="1:12" s="78" customFormat="1" ht="21">
      <c r="A19" s="92" t="s">
        <v>33</v>
      </c>
      <c r="B19" s="88">
        <f>SUM(B9:B18)</f>
        <v>98486.5</v>
      </c>
      <c r="C19" s="88">
        <f>SUM(C9:C18)</f>
        <v>0</v>
      </c>
      <c r="D19" s="88">
        <f>SUM(D9:D18)</f>
        <v>0</v>
      </c>
      <c r="E19" s="88">
        <f>SUM(E9:E18)</f>
        <v>98486.5</v>
      </c>
      <c r="F19" s="89"/>
      <c r="L19" s="148"/>
    </row>
    <row r="20" spans="1:6" ht="21">
      <c r="A20" s="93" t="s">
        <v>14</v>
      </c>
      <c r="B20" s="90"/>
      <c r="C20" s="90"/>
      <c r="D20" s="90"/>
      <c r="E20" s="90"/>
      <c r="F20" s="91"/>
    </row>
    <row r="21" spans="1:6" ht="21">
      <c r="A21" s="150" t="s">
        <v>185</v>
      </c>
      <c r="B21" s="85">
        <f>142878.12+136074.4+400344.12</f>
        <v>679296.64</v>
      </c>
      <c r="C21" s="85">
        <v>0</v>
      </c>
      <c r="D21" s="85">
        <v>0</v>
      </c>
      <c r="E21" s="85">
        <f>+B21-D21</f>
        <v>679296.64</v>
      </c>
      <c r="F21" s="86"/>
    </row>
    <row r="22" spans="1:6" ht="21">
      <c r="A22" s="150" t="s">
        <v>172</v>
      </c>
      <c r="B22" s="85">
        <f>4606+13551.3</f>
        <v>18157.3</v>
      </c>
      <c r="C22" s="85">
        <v>0</v>
      </c>
      <c r="D22" s="85">
        <v>0</v>
      </c>
      <c r="E22" s="85">
        <f>+B22-D22</f>
        <v>18157.3</v>
      </c>
      <c r="F22" s="86"/>
    </row>
    <row r="23" spans="1:6" ht="21">
      <c r="A23" s="150" t="s">
        <v>129</v>
      </c>
      <c r="B23" s="87">
        <v>300</v>
      </c>
      <c r="C23" s="85">
        <v>0</v>
      </c>
      <c r="D23" s="85">
        <v>0</v>
      </c>
      <c r="E23" s="85">
        <f>+B23-D23</f>
        <v>300</v>
      </c>
      <c r="F23" s="86"/>
    </row>
    <row r="24" spans="1:6" ht="21">
      <c r="A24" s="95" t="s">
        <v>183</v>
      </c>
      <c r="B24" s="87">
        <v>179850</v>
      </c>
      <c r="C24" s="85">
        <v>0</v>
      </c>
      <c r="D24" s="85">
        <v>0</v>
      </c>
      <c r="E24" s="85">
        <f>+B24-D24</f>
        <v>179850</v>
      </c>
      <c r="F24" s="86"/>
    </row>
    <row r="25" spans="1:12" s="78" customFormat="1" ht="21">
      <c r="A25" s="92" t="s">
        <v>33</v>
      </c>
      <c r="B25" s="88">
        <f>SUM(B21:B24)</f>
        <v>877603.9400000001</v>
      </c>
      <c r="C25" s="88">
        <f>SUM(C21:C24)</f>
        <v>0</v>
      </c>
      <c r="D25" s="88">
        <f>SUM(D21:D24)</f>
        <v>0</v>
      </c>
      <c r="E25" s="88">
        <f>SUM(E21:E24)</f>
        <v>877603.9400000001</v>
      </c>
      <c r="F25" s="89"/>
      <c r="H25" s="148"/>
      <c r="I25" s="148"/>
      <c r="J25" s="148"/>
      <c r="K25" s="148"/>
      <c r="L25" s="148"/>
    </row>
    <row r="26" spans="1:6" ht="21">
      <c r="A26" s="93" t="s">
        <v>17</v>
      </c>
      <c r="B26" s="90"/>
      <c r="C26" s="90"/>
      <c r="D26" s="90"/>
      <c r="E26" s="90"/>
      <c r="F26" s="91"/>
    </row>
    <row r="27" spans="1:6" ht="21">
      <c r="A27" s="150" t="s">
        <v>174</v>
      </c>
      <c r="B27" s="85">
        <v>59500</v>
      </c>
      <c r="C27" s="85">
        <v>0</v>
      </c>
      <c r="D27" s="85">
        <v>0</v>
      </c>
      <c r="E27" s="85">
        <f>+B27-D27</f>
        <v>59500</v>
      </c>
      <c r="F27" s="86"/>
    </row>
    <row r="28" spans="1:6" ht="21">
      <c r="A28" s="150" t="s">
        <v>175</v>
      </c>
      <c r="B28" s="85">
        <v>49500</v>
      </c>
      <c r="C28" s="85">
        <v>0</v>
      </c>
      <c r="D28" s="85">
        <v>0</v>
      </c>
      <c r="E28" s="85">
        <f>+B28-D28</f>
        <v>49500</v>
      </c>
      <c r="F28" s="86"/>
    </row>
    <row r="29" spans="1:6" ht="21">
      <c r="A29" s="150" t="s">
        <v>176</v>
      </c>
      <c r="B29" s="85">
        <v>12000</v>
      </c>
      <c r="C29" s="85">
        <v>0</v>
      </c>
      <c r="D29" s="85">
        <v>0</v>
      </c>
      <c r="E29" s="85">
        <f>+B29-D29</f>
        <v>12000</v>
      </c>
      <c r="F29" s="86"/>
    </row>
    <row r="30" spans="1:6" ht="21">
      <c r="A30" s="95" t="s">
        <v>177</v>
      </c>
      <c r="B30" s="87"/>
      <c r="C30" s="87"/>
      <c r="D30" s="87"/>
      <c r="E30" s="85"/>
      <c r="F30" s="86"/>
    </row>
    <row r="31" spans="1:6" ht="21">
      <c r="A31" s="151" t="s">
        <v>184</v>
      </c>
      <c r="B31" s="87">
        <v>898000</v>
      </c>
      <c r="C31" s="87">
        <v>0</v>
      </c>
      <c r="D31" s="87">
        <v>0</v>
      </c>
      <c r="E31" s="85">
        <f>+B31-D31</f>
        <v>898000</v>
      </c>
      <c r="F31" s="86"/>
    </row>
    <row r="32" spans="1:6" ht="21">
      <c r="A32" s="95" t="s">
        <v>186</v>
      </c>
      <c r="B32" s="87">
        <v>0</v>
      </c>
      <c r="C32" s="87">
        <v>25000</v>
      </c>
      <c r="D32" s="87">
        <v>0</v>
      </c>
      <c r="E32" s="87">
        <f aca="true" t="shared" si="1" ref="E32:E37">+C32-D32</f>
        <v>25000</v>
      </c>
      <c r="F32" s="86"/>
    </row>
    <row r="33" spans="1:6" ht="21">
      <c r="A33" s="95" t="s">
        <v>187</v>
      </c>
      <c r="B33" s="87">
        <v>0</v>
      </c>
      <c r="C33" s="87">
        <v>52000</v>
      </c>
      <c r="D33" s="87">
        <v>0</v>
      </c>
      <c r="E33" s="87">
        <f t="shared" si="1"/>
        <v>52000</v>
      </c>
      <c r="F33" s="86"/>
    </row>
    <row r="34" spans="1:6" ht="21">
      <c r="A34" s="95" t="s">
        <v>187</v>
      </c>
      <c r="B34" s="87">
        <v>0</v>
      </c>
      <c r="C34" s="87">
        <v>62000</v>
      </c>
      <c r="D34" s="87">
        <v>0</v>
      </c>
      <c r="E34" s="87">
        <f t="shared" si="1"/>
        <v>62000</v>
      </c>
      <c r="F34" s="86"/>
    </row>
    <row r="35" spans="1:6" ht="21">
      <c r="A35" s="95" t="s">
        <v>191</v>
      </c>
      <c r="B35" s="87">
        <v>0</v>
      </c>
      <c r="C35" s="87">
        <v>22000</v>
      </c>
      <c r="D35" s="87">
        <v>0</v>
      </c>
      <c r="E35" s="87">
        <f t="shared" si="1"/>
        <v>22000</v>
      </c>
      <c r="F35" s="86"/>
    </row>
    <row r="36" spans="1:6" ht="21">
      <c r="A36" s="95" t="s">
        <v>192</v>
      </c>
      <c r="B36" s="87">
        <v>0</v>
      </c>
      <c r="C36" s="87">
        <v>25000</v>
      </c>
      <c r="D36" s="87">
        <v>0</v>
      </c>
      <c r="E36" s="87">
        <f t="shared" si="1"/>
        <v>25000</v>
      </c>
      <c r="F36" s="86"/>
    </row>
    <row r="37" spans="1:6" ht="21">
      <c r="A37" s="95" t="s">
        <v>193</v>
      </c>
      <c r="B37" s="87">
        <v>0</v>
      </c>
      <c r="C37" s="87">
        <v>1700</v>
      </c>
      <c r="D37" s="87">
        <v>0</v>
      </c>
      <c r="E37" s="87">
        <f t="shared" si="1"/>
        <v>1700</v>
      </c>
      <c r="F37" s="86"/>
    </row>
    <row r="38" spans="1:12" s="78" customFormat="1" ht="21">
      <c r="A38" s="92" t="s">
        <v>33</v>
      </c>
      <c r="B38" s="88">
        <f>SUM(B27:B37)</f>
        <v>1019000</v>
      </c>
      <c r="C38" s="88">
        <f>SUM(C27:C37)</f>
        <v>187700</v>
      </c>
      <c r="D38" s="88">
        <f>SUM(D27:D37)</f>
        <v>0</v>
      </c>
      <c r="E38" s="88">
        <f>SUM(E27:E37)</f>
        <v>1206700</v>
      </c>
      <c r="F38" s="89"/>
      <c r="H38" s="148"/>
      <c r="I38" s="148"/>
      <c r="J38" s="148"/>
      <c r="K38" s="148"/>
      <c r="L38" s="148"/>
    </row>
    <row r="39" spans="1:6" ht="21">
      <c r="A39" s="93" t="s">
        <v>18</v>
      </c>
      <c r="B39" s="90"/>
      <c r="C39" s="90"/>
      <c r="D39" s="90"/>
      <c r="E39" s="90"/>
      <c r="F39" s="91"/>
    </row>
    <row r="40" spans="1:6" ht="21">
      <c r="A40" s="150" t="s">
        <v>181</v>
      </c>
      <c r="B40" s="85">
        <v>855000</v>
      </c>
      <c r="C40" s="85">
        <v>0</v>
      </c>
      <c r="D40" s="85">
        <v>0</v>
      </c>
      <c r="E40" s="85">
        <f>+B40-D40</f>
        <v>855000</v>
      </c>
      <c r="F40" s="86"/>
    </row>
    <row r="41" spans="1:6" ht="21">
      <c r="A41" s="150" t="s">
        <v>188</v>
      </c>
      <c r="B41" s="87">
        <v>0</v>
      </c>
      <c r="C41" s="87">
        <v>222200</v>
      </c>
      <c r="D41" s="87">
        <v>0</v>
      </c>
      <c r="E41" s="87">
        <f>+C41-D41</f>
        <v>222200</v>
      </c>
      <c r="F41" s="86"/>
    </row>
    <row r="42" spans="1:6" ht="21">
      <c r="A42" s="150" t="s">
        <v>189</v>
      </c>
      <c r="B42" s="87">
        <v>0</v>
      </c>
      <c r="C42" s="87">
        <v>768000</v>
      </c>
      <c r="D42" s="87">
        <v>0</v>
      </c>
      <c r="E42" s="87">
        <f>+C42-D42</f>
        <v>768000</v>
      </c>
      <c r="F42" s="86"/>
    </row>
    <row r="43" spans="1:6" ht="21">
      <c r="A43" s="95" t="s">
        <v>190</v>
      </c>
      <c r="B43" s="87"/>
      <c r="C43" s="87"/>
      <c r="D43" s="87"/>
      <c r="E43" s="87"/>
      <c r="F43" s="86"/>
    </row>
    <row r="44" spans="1:12" s="78" customFormat="1" ht="21">
      <c r="A44" s="92" t="s">
        <v>33</v>
      </c>
      <c r="B44" s="88">
        <f>SUM(B40:B43)</f>
        <v>855000</v>
      </c>
      <c r="C44" s="88">
        <f>SUM(C40:C43)</f>
        <v>990200</v>
      </c>
      <c r="D44" s="88">
        <f>SUM(D40:D43)</f>
        <v>0</v>
      </c>
      <c r="E44" s="88">
        <f>SUM(E40:E43)</f>
        <v>1845200</v>
      </c>
      <c r="F44" s="89"/>
      <c r="H44" s="148"/>
      <c r="I44" s="148"/>
      <c r="J44" s="148"/>
      <c r="K44" s="148"/>
      <c r="L44" s="148"/>
    </row>
    <row r="45" spans="1:12" s="78" customFormat="1" ht="21">
      <c r="A45" s="92" t="s">
        <v>121</v>
      </c>
      <c r="B45" s="88">
        <f>+B19+B25+B38+B44</f>
        <v>2850090.44</v>
      </c>
      <c r="C45" s="88">
        <f>+C19+C25+C38+C44</f>
        <v>1177900</v>
      </c>
      <c r="D45" s="88">
        <f>+D19+D25+D38+D44</f>
        <v>0</v>
      </c>
      <c r="E45" s="88">
        <f>+E19+E25+E38+E44</f>
        <v>4027990.44</v>
      </c>
      <c r="F45" s="89"/>
      <c r="H45" s="148"/>
      <c r="I45" s="148"/>
      <c r="J45" s="148"/>
      <c r="K45" s="148"/>
      <c r="L45" s="148"/>
    </row>
  </sheetData>
  <sheetProtection/>
  <mergeCells count="6">
    <mergeCell ref="A1:F1"/>
    <mergeCell ref="A2:F2"/>
    <mergeCell ref="A3:F3"/>
    <mergeCell ref="B6:C6"/>
    <mergeCell ref="D6:D7"/>
    <mergeCell ref="F6:F7"/>
  </mergeCells>
  <printOptions/>
  <pageMargins left="0.54" right="0.11811023622047245" top="0.36" bottom="0.2362204724409449" header="0.15748031496062992" footer="0.1574803149606299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F39"/>
  <sheetViews>
    <sheetView showGridLines="0" zoomScalePageLayoutView="0" workbookViewId="0" topLeftCell="A1">
      <selection activeCell="K10" sqref="K10"/>
    </sheetView>
  </sheetViews>
  <sheetFormatPr defaultColWidth="9.140625" defaultRowHeight="21.75"/>
  <cols>
    <col min="1" max="1" width="7.421875" style="495" customWidth="1"/>
    <col min="2" max="2" width="27.00390625" style="497" customWidth="1"/>
    <col min="3" max="3" width="24.140625" style="497" customWidth="1"/>
    <col min="4" max="4" width="11.7109375" style="497" customWidth="1"/>
    <col min="5" max="5" width="13.7109375" style="521" customWidth="1"/>
    <col min="6" max="6" width="13.00390625" style="521" customWidth="1"/>
    <col min="7" max="16384" width="9.140625" style="497" customWidth="1"/>
  </cols>
  <sheetData>
    <row r="1" spans="1:6" ht="21">
      <c r="A1" s="563" t="s">
        <v>0</v>
      </c>
      <c r="B1" s="564"/>
      <c r="C1" s="564"/>
      <c r="D1" s="564"/>
      <c r="E1" s="564"/>
      <c r="F1" s="564"/>
    </row>
    <row r="2" spans="1:6" ht="21">
      <c r="A2" s="563" t="s">
        <v>900</v>
      </c>
      <c r="B2" s="564"/>
      <c r="C2" s="564"/>
      <c r="D2" s="564"/>
      <c r="E2" s="564"/>
      <c r="F2" s="564"/>
    </row>
    <row r="3" spans="1:6" ht="21">
      <c r="A3" s="563" t="s">
        <v>901</v>
      </c>
      <c r="B3" s="564"/>
      <c r="C3" s="564"/>
      <c r="D3" s="564"/>
      <c r="E3" s="564"/>
      <c r="F3" s="564"/>
    </row>
    <row r="4" spans="2:6" ht="10.5" customHeight="1">
      <c r="B4" s="496"/>
      <c r="C4" s="496"/>
      <c r="D4" s="496"/>
      <c r="E4" s="496"/>
      <c r="F4" s="496"/>
    </row>
    <row r="5" spans="1:6" ht="21">
      <c r="A5" s="498" t="s">
        <v>480</v>
      </c>
      <c r="B5" s="498" t="s">
        <v>902</v>
      </c>
      <c r="C5" s="498" t="s">
        <v>903</v>
      </c>
      <c r="D5" s="498" t="s">
        <v>904</v>
      </c>
      <c r="E5" s="499" t="s">
        <v>905</v>
      </c>
      <c r="F5" s="499" t="s">
        <v>117</v>
      </c>
    </row>
    <row r="6" spans="1:6" ht="21">
      <c r="A6" s="500">
        <v>1</v>
      </c>
      <c r="B6" s="501" t="s">
        <v>906</v>
      </c>
      <c r="C6" s="501" t="s">
        <v>907</v>
      </c>
      <c r="D6" s="502">
        <v>21429</v>
      </c>
      <c r="E6" s="503">
        <v>3125</v>
      </c>
      <c r="F6" s="503"/>
    </row>
    <row r="7" spans="1:6" ht="21">
      <c r="A7" s="504">
        <v>2</v>
      </c>
      <c r="B7" s="505" t="s">
        <v>906</v>
      </c>
      <c r="C7" s="505" t="s">
        <v>908</v>
      </c>
      <c r="D7" s="506">
        <v>21081</v>
      </c>
      <c r="E7" s="507">
        <v>4825</v>
      </c>
      <c r="F7" s="507" t="s">
        <v>909</v>
      </c>
    </row>
    <row r="8" spans="1:6" ht="21">
      <c r="A8" s="504">
        <v>3</v>
      </c>
      <c r="B8" s="505" t="s">
        <v>906</v>
      </c>
      <c r="C8" s="505" t="s">
        <v>910</v>
      </c>
      <c r="D8" s="506"/>
      <c r="E8" s="507">
        <v>4375</v>
      </c>
      <c r="F8" s="507"/>
    </row>
    <row r="9" spans="1:6" ht="21">
      <c r="A9" s="504">
        <v>4</v>
      </c>
      <c r="B9" s="505" t="s">
        <v>906</v>
      </c>
      <c r="C9" s="505" t="s">
        <v>911</v>
      </c>
      <c r="D9" s="506"/>
      <c r="E9" s="507">
        <v>2450</v>
      </c>
      <c r="F9" s="507"/>
    </row>
    <row r="10" spans="1:6" ht="21">
      <c r="A10" s="504">
        <v>5</v>
      </c>
      <c r="B10" s="505" t="s">
        <v>906</v>
      </c>
      <c r="C10" s="505" t="s">
        <v>912</v>
      </c>
      <c r="D10" s="506"/>
      <c r="E10" s="507">
        <v>4400</v>
      </c>
      <c r="F10" s="507"/>
    </row>
    <row r="11" spans="1:6" ht="21">
      <c r="A11" s="504">
        <v>6</v>
      </c>
      <c r="B11" s="505" t="s">
        <v>906</v>
      </c>
      <c r="C11" s="505" t="s">
        <v>913</v>
      </c>
      <c r="D11" s="506"/>
      <c r="E11" s="507">
        <v>2975</v>
      </c>
      <c r="F11" s="507"/>
    </row>
    <row r="12" spans="1:6" ht="21">
      <c r="A12" s="504">
        <v>7</v>
      </c>
      <c r="B12" s="505" t="s">
        <v>914</v>
      </c>
      <c r="C12" s="505" t="s">
        <v>915</v>
      </c>
      <c r="D12" s="506"/>
      <c r="E12" s="507">
        <v>1975</v>
      </c>
      <c r="F12" s="507"/>
    </row>
    <row r="13" spans="1:6" ht="21">
      <c r="A13" s="504">
        <v>8</v>
      </c>
      <c r="B13" s="505" t="s">
        <v>914</v>
      </c>
      <c r="C13" s="505" t="s">
        <v>916</v>
      </c>
      <c r="D13" s="506"/>
      <c r="E13" s="507">
        <v>1125</v>
      </c>
      <c r="F13" s="507"/>
    </row>
    <row r="14" spans="1:6" ht="21">
      <c r="A14" s="504">
        <v>9</v>
      </c>
      <c r="B14" s="505" t="s">
        <v>914</v>
      </c>
      <c r="C14" s="505" t="s">
        <v>917</v>
      </c>
      <c r="D14" s="506"/>
      <c r="E14" s="507">
        <v>2750</v>
      </c>
      <c r="F14" s="507"/>
    </row>
    <row r="15" spans="1:6" ht="21">
      <c r="A15" s="504">
        <v>10</v>
      </c>
      <c r="B15" s="505" t="s">
        <v>914</v>
      </c>
      <c r="C15" s="505" t="s">
        <v>918</v>
      </c>
      <c r="D15" s="506">
        <v>21492</v>
      </c>
      <c r="E15" s="507">
        <v>4750</v>
      </c>
      <c r="F15" s="507"/>
    </row>
    <row r="16" spans="1:6" ht="21">
      <c r="A16" s="504">
        <v>11</v>
      </c>
      <c r="B16" s="505" t="s">
        <v>919</v>
      </c>
      <c r="C16" s="505" t="s">
        <v>920</v>
      </c>
      <c r="D16" s="506">
        <v>21906</v>
      </c>
      <c r="E16" s="507">
        <v>4925</v>
      </c>
      <c r="F16" s="507"/>
    </row>
    <row r="17" spans="1:6" ht="21">
      <c r="A17" s="504">
        <v>12</v>
      </c>
      <c r="B17" s="505" t="s">
        <v>921</v>
      </c>
      <c r="C17" s="505" t="s">
        <v>922</v>
      </c>
      <c r="D17" s="506">
        <v>22146</v>
      </c>
      <c r="E17" s="507">
        <v>22850</v>
      </c>
      <c r="F17" s="507"/>
    </row>
    <row r="18" spans="1:6" ht="21">
      <c r="A18" s="504">
        <v>13</v>
      </c>
      <c r="B18" s="505" t="s">
        <v>923</v>
      </c>
      <c r="C18" s="505" t="s">
        <v>924</v>
      </c>
      <c r="D18" s="506">
        <v>21564</v>
      </c>
      <c r="E18" s="507">
        <v>13242</v>
      </c>
      <c r="F18" s="507" t="s">
        <v>909</v>
      </c>
    </row>
    <row r="19" spans="1:6" ht="21">
      <c r="A19" s="504">
        <v>14</v>
      </c>
      <c r="B19" s="505" t="s">
        <v>925</v>
      </c>
      <c r="C19" s="505" t="s">
        <v>926</v>
      </c>
      <c r="D19" s="506"/>
      <c r="E19" s="507">
        <v>13100</v>
      </c>
      <c r="F19" s="507" t="s">
        <v>927</v>
      </c>
    </row>
    <row r="20" spans="1:6" ht="21">
      <c r="A20" s="504">
        <v>15</v>
      </c>
      <c r="B20" s="505" t="s">
        <v>928</v>
      </c>
      <c r="C20" s="505" t="s">
        <v>777</v>
      </c>
      <c r="D20" s="506">
        <v>21396</v>
      </c>
      <c r="E20" s="507">
        <v>10450</v>
      </c>
      <c r="F20" s="507"/>
    </row>
    <row r="21" spans="1:6" ht="21">
      <c r="A21" s="504">
        <v>16</v>
      </c>
      <c r="B21" s="505" t="s">
        <v>929</v>
      </c>
      <c r="C21" s="505" t="s">
        <v>930</v>
      </c>
      <c r="D21" s="508">
        <v>21436</v>
      </c>
      <c r="E21" s="507">
        <v>6200</v>
      </c>
      <c r="F21" s="507"/>
    </row>
    <row r="22" spans="1:6" ht="21">
      <c r="A22" s="504">
        <v>17</v>
      </c>
      <c r="B22" s="505" t="s">
        <v>931</v>
      </c>
      <c r="C22" s="505" t="s">
        <v>932</v>
      </c>
      <c r="D22" s="508">
        <v>21437</v>
      </c>
      <c r="E22" s="507">
        <v>2997</v>
      </c>
      <c r="F22" s="507"/>
    </row>
    <row r="23" spans="1:6" ht="21">
      <c r="A23" s="504">
        <v>18</v>
      </c>
      <c r="B23" s="505" t="s">
        <v>933</v>
      </c>
      <c r="C23" s="505" t="s">
        <v>934</v>
      </c>
      <c r="D23" s="509" t="s">
        <v>935</v>
      </c>
      <c r="E23" s="507">
        <v>2825</v>
      </c>
      <c r="F23" s="507"/>
    </row>
    <row r="24" spans="1:6" ht="21">
      <c r="A24" s="504">
        <v>19</v>
      </c>
      <c r="B24" s="505" t="s">
        <v>936</v>
      </c>
      <c r="C24" s="505" t="s">
        <v>937</v>
      </c>
      <c r="D24" s="508">
        <v>21454</v>
      </c>
      <c r="E24" s="507">
        <v>8993</v>
      </c>
      <c r="F24" s="507"/>
    </row>
    <row r="25" spans="1:6" ht="21">
      <c r="A25" s="504">
        <v>20</v>
      </c>
      <c r="B25" s="510" t="s">
        <v>938</v>
      </c>
      <c r="C25" s="505" t="s">
        <v>939</v>
      </c>
      <c r="D25" s="508">
        <v>22134</v>
      </c>
      <c r="E25" s="507">
        <v>76100</v>
      </c>
      <c r="F25" s="507"/>
    </row>
    <row r="26" spans="1:6" ht="21">
      <c r="A26" s="504">
        <v>21</v>
      </c>
      <c r="B26" s="505" t="s">
        <v>940</v>
      </c>
      <c r="C26" s="505" t="s">
        <v>941</v>
      </c>
      <c r="D26" s="508">
        <v>21458</v>
      </c>
      <c r="E26" s="511">
        <v>12229.2</v>
      </c>
      <c r="F26" s="507"/>
    </row>
    <row r="27" spans="1:6" ht="21">
      <c r="A27" s="504">
        <v>22</v>
      </c>
      <c r="B27" s="505" t="s">
        <v>940</v>
      </c>
      <c r="C27" s="505" t="s">
        <v>942</v>
      </c>
      <c r="D27" s="508">
        <v>21458</v>
      </c>
      <c r="E27" s="507">
        <v>2675</v>
      </c>
      <c r="F27" s="507"/>
    </row>
    <row r="28" spans="1:6" ht="21">
      <c r="A28" s="504">
        <v>23</v>
      </c>
      <c r="B28" s="505" t="s">
        <v>943</v>
      </c>
      <c r="C28" s="505" t="s">
        <v>944</v>
      </c>
      <c r="D28" s="508">
        <v>21446</v>
      </c>
      <c r="E28" s="507">
        <v>2850</v>
      </c>
      <c r="F28" s="507"/>
    </row>
    <row r="29" spans="1:6" ht="21">
      <c r="A29" s="504">
        <v>24</v>
      </c>
      <c r="B29" s="505" t="s">
        <v>945</v>
      </c>
      <c r="C29" s="505" t="s">
        <v>946</v>
      </c>
      <c r="D29" s="508"/>
      <c r="E29" s="507">
        <v>2500</v>
      </c>
      <c r="F29" s="507"/>
    </row>
    <row r="30" spans="1:6" ht="21">
      <c r="A30" s="504">
        <v>25</v>
      </c>
      <c r="B30" s="505" t="s">
        <v>914</v>
      </c>
      <c r="C30" s="505" t="s">
        <v>947</v>
      </c>
      <c r="D30" s="508"/>
      <c r="E30" s="507">
        <v>3525</v>
      </c>
      <c r="F30" s="507"/>
    </row>
    <row r="31" spans="1:6" ht="21">
      <c r="A31" s="504">
        <v>26</v>
      </c>
      <c r="B31" s="505" t="s">
        <v>914</v>
      </c>
      <c r="C31" s="505" t="s">
        <v>948</v>
      </c>
      <c r="D31" s="508"/>
      <c r="E31" s="507">
        <v>3925</v>
      </c>
      <c r="F31" s="507"/>
    </row>
    <row r="32" spans="1:6" ht="21">
      <c r="A32" s="504">
        <v>27</v>
      </c>
      <c r="B32" s="505" t="s">
        <v>914</v>
      </c>
      <c r="C32" s="505" t="s">
        <v>949</v>
      </c>
      <c r="D32" s="508"/>
      <c r="E32" s="507">
        <v>1525</v>
      </c>
      <c r="F32" s="507"/>
    </row>
    <row r="33" spans="1:6" ht="21">
      <c r="A33" s="504">
        <v>28</v>
      </c>
      <c r="B33" s="505" t="s">
        <v>906</v>
      </c>
      <c r="C33" s="505" t="s">
        <v>950</v>
      </c>
      <c r="D33" s="508"/>
      <c r="E33" s="507">
        <v>2475</v>
      </c>
      <c r="F33" s="507"/>
    </row>
    <row r="34" spans="1:6" ht="21">
      <c r="A34" s="504">
        <v>29</v>
      </c>
      <c r="B34" s="505" t="s">
        <v>906</v>
      </c>
      <c r="C34" s="505" t="s">
        <v>951</v>
      </c>
      <c r="D34" s="508"/>
      <c r="E34" s="507">
        <v>2975</v>
      </c>
      <c r="F34" s="507"/>
    </row>
    <row r="35" spans="1:6" ht="21">
      <c r="A35" s="504">
        <v>30</v>
      </c>
      <c r="B35" s="505" t="s">
        <v>952</v>
      </c>
      <c r="C35" s="505" t="s">
        <v>937</v>
      </c>
      <c r="D35" s="508"/>
      <c r="E35" s="507">
        <v>8993</v>
      </c>
      <c r="F35" s="507"/>
    </row>
    <row r="36" spans="1:6" ht="21">
      <c r="A36" s="512"/>
      <c r="B36" s="513"/>
      <c r="C36" s="513"/>
      <c r="D36" s="514"/>
      <c r="E36" s="515"/>
      <c r="F36" s="516"/>
    </row>
    <row r="37" spans="1:6" ht="21">
      <c r="A37" s="517"/>
      <c r="B37" s="565" t="s">
        <v>953</v>
      </c>
      <c r="C37" s="566"/>
      <c r="D37" s="566"/>
      <c r="E37" s="518">
        <f>SUM(E6:E35)</f>
        <v>238104.2</v>
      </c>
      <c r="F37" s="519"/>
    </row>
    <row r="38" ht="21">
      <c r="E38" s="520"/>
    </row>
    <row r="39" ht="21">
      <c r="E39" s="520"/>
    </row>
  </sheetData>
  <sheetProtection/>
  <mergeCells count="4">
    <mergeCell ref="A1:F1"/>
    <mergeCell ref="A2:F2"/>
    <mergeCell ref="A3:F3"/>
    <mergeCell ref="B37:D37"/>
  </mergeCells>
  <printOptions/>
  <pageMargins left="0.97" right="0.17" top="0.46" bottom="0.23" header="0.16" footer="0.17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18"/>
  <sheetViews>
    <sheetView zoomScalePageLayoutView="0" workbookViewId="0" topLeftCell="A1">
      <selection activeCell="H15" sqref="H15"/>
    </sheetView>
  </sheetViews>
  <sheetFormatPr defaultColWidth="9.140625" defaultRowHeight="23.25" customHeight="1"/>
  <cols>
    <col min="1" max="1" width="6.57421875" style="8" customWidth="1"/>
    <col min="2" max="5" width="15.7109375" style="1" customWidth="1"/>
    <col min="6" max="6" width="15.7109375" style="10" customWidth="1"/>
    <col min="7" max="7" width="15.28125" style="10" customWidth="1"/>
    <col min="8" max="8" width="13.57421875" style="1" bestFit="1" customWidth="1"/>
    <col min="9" max="9" width="13.421875" style="8" bestFit="1" customWidth="1"/>
    <col min="10" max="16384" width="9.140625" style="8" customWidth="1"/>
  </cols>
  <sheetData>
    <row r="1" spans="1:9" ht="23.25" customHeight="1">
      <c r="A1" s="556" t="s">
        <v>0</v>
      </c>
      <c r="B1" s="556"/>
      <c r="C1" s="556"/>
      <c r="D1" s="556"/>
      <c r="E1" s="556"/>
      <c r="F1" s="556"/>
      <c r="G1" s="71"/>
      <c r="H1" s="71"/>
      <c r="I1" s="1"/>
    </row>
    <row r="2" spans="1:9" ht="23.25" customHeight="1">
      <c r="A2" s="557" t="s">
        <v>954</v>
      </c>
      <c r="B2" s="557"/>
      <c r="C2" s="557"/>
      <c r="D2" s="557"/>
      <c r="E2" s="557"/>
      <c r="F2" s="557"/>
      <c r="G2" s="72"/>
      <c r="H2" s="72"/>
      <c r="I2" s="1"/>
    </row>
    <row r="3" spans="1:9" ht="23.25" customHeight="1">
      <c r="A3" s="558" t="str">
        <f>+'หมายเหตุ 1 รายรับจริง'!A3:G3</f>
        <v>ณ  วันที่  30 กันยายน 2558</v>
      </c>
      <c r="B3" s="558"/>
      <c r="C3" s="558"/>
      <c r="D3" s="558"/>
      <c r="E3" s="558"/>
      <c r="F3" s="558"/>
      <c r="G3" s="73"/>
      <c r="H3" s="73"/>
      <c r="I3" s="1"/>
    </row>
    <row r="4" spans="1:8" ht="23.25" customHeight="1">
      <c r="A4" s="5"/>
      <c r="B4" s="2"/>
      <c r="C4" s="2"/>
      <c r="D4" s="2"/>
      <c r="E4" s="74"/>
      <c r="H4" s="8"/>
    </row>
    <row r="5" spans="1:6" ht="23.25" customHeight="1">
      <c r="A5" s="202"/>
      <c r="B5" s="2"/>
      <c r="C5" s="2"/>
      <c r="D5" s="2"/>
      <c r="F5" s="204" t="s">
        <v>1</v>
      </c>
    </row>
    <row r="6" spans="1:6" ht="25.5" customHeight="1">
      <c r="A6" s="201" t="s">
        <v>955</v>
      </c>
      <c r="B6" s="74"/>
      <c r="C6" s="203"/>
      <c r="D6" s="203"/>
      <c r="F6" s="206">
        <v>147900</v>
      </c>
    </row>
    <row r="7" spans="1:8" ht="25.5" customHeight="1">
      <c r="A7" s="201" t="s">
        <v>956</v>
      </c>
      <c r="B7" s="74"/>
      <c r="C7" s="203"/>
      <c r="D7" s="203"/>
      <c r="E7" s="74"/>
      <c r="F7" s="10">
        <v>5600</v>
      </c>
      <c r="H7" s="8"/>
    </row>
    <row r="8" spans="1:6" ht="25.5" customHeight="1">
      <c r="A8" s="201" t="s">
        <v>957</v>
      </c>
      <c r="B8" s="74"/>
      <c r="C8" s="203"/>
      <c r="D8" s="203"/>
      <c r="E8" s="74"/>
      <c r="F8" s="10">
        <v>14034</v>
      </c>
    </row>
    <row r="9" spans="1:6" ht="25.5" customHeight="1">
      <c r="A9" s="201" t="s">
        <v>958</v>
      </c>
      <c r="B9" s="74"/>
      <c r="E9" s="74"/>
      <c r="F9" s="10">
        <v>382</v>
      </c>
    </row>
    <row r="10" spans="1:6" ht="23.25" customHeight="1">
      <c r="A10" s="201"/>
      <c r="B10" s="74"/>
      <c r="F10" s="206"/>
    </row>
    <row r="11" spans="1:6" ht="23.25" customHeight="1" thickBot="1">
      <c r="A11" s="201"/>
      <c r="B11" s="74"/>
      <c r="E11" s="203" t="s">
        <v>33</v>
      </c>
      <c r="F11" s="205">
        <f>SUM(F6:F10)</f>
        <v>167916</v>
      </c>
    </row>
    <row r="12" spans="1:9" s="10" customFormat="1" ht="23.25" customHeight="1" thickTop="1">
      <c r="A12" s="201"/>
      <c r="B12" s="74"/>
      <c r="C12" s="1"/>
      <c r="D12" s="1"/>
      <c r="E12" s="1"/>
      <c r="H12" s="1"/>
      <c r="I12" s="8"/>
    </row>
    <row r="13" spans="1:9" s="10" customFormat="1" ht="23.25" customHeight="1">
      <c r="A13" s="201"/>
      <c r="B13" s="74"/>
      <c r="C13" s="1"/>
      <c r="D13" s="1"/>
      <c r="E13" s="1"/>
      <c r="H13" s="1"/>
      <c r="I13" s="8"/>
    </row>
    <row r="14" spans="1:9" s="10" customFormat="1" ht="23.25" customHeight="1">
      <c r="A14" s="201"/>
      <c r="B14" s="74"/>
      <c r="C14" s="1"/>
      <c r="D14" s="1"/>
      <c r="E14" s="1"/>
      <c r="H14" s="1"/>
      <c r="I14" s="8"/>
    </row>
    <row r="15" spans="1:2" ht="23.25" customHeight="1">
      <c r="A15" s="201"/>
      <c r="B15" s="74"/>
    </row>
    <row r="16" spans="1:9" s="1" customFormat="1" ht="23.25" customHeight="1">
      <c r="A16" s="201"/>
      <c r="B16" s="74"/>
      <c r="F16" s="10"/>
      <c r="G16" s="10"/>
      <c r="I16" s="8"/>
    </row>
    <row r="17" spans="1:9" s="1" customFormat="1" ht="23.25" customHeight="1">
      <c r="A17" s="201"/>
      <c r="F17" s="10"/>
      <c r="G17" s="10"/>
      <c r="I17" s="8"/>
    </row>
    <row r="18" spans="1:9" s="1" customFormat="1" ht="23.25" customHeight="1">
      <c r="A18" s="201"/>
      <c r="F18" s="10"/>
      <c r="G18" s="10"/>
      <c r="I18" s="8"/>
    </row>
  </sheetData>
  <sheetProtection/>
  <mergeCells count="3">
    <mergeCell ref="A1:F1"/>
    <mergeCell ref="A2:F2"/>
    <mergeCell ref="A3:F3"/>
  </mergeCells>
  <printOptions/>
  <pageMargins left="1.4" right="0.15748031496062992" top="0.88" bottom="0" header="0.16" footer="0.19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J50"/>
  <sheetViews>
    <sheetView tabSelected="1" zoomScalePageLayoutView="0" workbookViewId="0" topLeftCell="A1">
      <selection activeCell="C21" sqref="C21"/>
    </sheetView>
  </sheetViews>
  <sheetFormatPr defaultColWidth="9.140625" defaultRowHeight="21.75" customHeight="1"/>
  <cols>
    <col min="1" max="1" width="1.7109375" style="7" customWidth="1"/>
    <col min="2" max="2" width="5.421875" style="7" customWidth="1"/>
    <col min="3" max="3" width="54.00390625" style="7" customWidth="1"/>
    <col min="4" max="4" width="9.8515625" style="7" customWidth="1"/>
    <col min="5" max="6" width="15.28125" style="6" customWidth="1"/>
    <col min="7" max="7" width="12.8515625" style="133" customWidth="1"/>
    <col min="8" max="8" width="10.8515625" style="134" customWidth="1"/>
    <col min="9" max="9" width="12.7109375" style="134" bestFit="1" customWidth="1"/>
    <col min="10" max="11" width="12.421875" style="7" bestFit="1" customWidth="1"/>
    <col min="12" max="16384" width="9.140625" style="7" customWidth="1"/>
  </cols>
  <sheetData>
    <row r="1" spans="1:9" s="3" customFormat="1" ht="21.75" customHeight="1">
      <c r="A1" s="547" t="s">
        <v>0</v>
      </c>
      <c r="B1" s="547"/>
      <c r="C1" s="547"/>
      <c r="D1" s="547"/>
      <c r="E1" s="547"/>
      <c r="F1" s="547"/>
      <c r="G1" s="133"/>
      <c r="H1" s="134"/>
      <c r="I1" s="134"/>
    </row>
    <row r="2" spans="1:9" s="3" customFormat="1" ht="21.75" customHeight="1">
      <c r="A2" s="548" t="s">
        <v>212</v>
      </c>
      <c r="B2" s="548"/>
      <c r="C2" s="548"/>
      <c r="D2" s="548"/>
      <c r="E2" s="548"/>
      <c r="F2" s="548"/>
      <c r="G2" s="133"/>
      <c r="H2" s="134"/>
      <c r="I2" s="134"/>
    </row>
    <row r="3" spans="1:9" s="3" customFormat="1" ht="21.75" customHeight="1">
      <c r="A3" s="549" t="s">
        <v>156</v>
      </c>
      <c r="B3" s="549"/>
      <c r="C3" s="549"/>
      <c r="D3" s="549"/>
      <c r="E3" s="549"/>
      <c r="F3" s="549"/>
      <c r="G3" s="133"/>
      <c r="H3" s="134"/>
      <c r="I3" s="134"/>
    </row>
    <row r="4" spans="1:9" s="3" customFormat="1" ht="21.75" customHeight="1">
      <c r="A4" s="153"/>
      <c r="B4" s="153"/>
      <c r="C4" s="153"/>
      <c r="D4" s="153"/>
      <c r="E4" s="153"/>
      <c r="F4" s="153"/>
      <c r="G4" s="133"/>
      <c r="H4" s="134"/>
      <c r="I4" s="134"/>
    </row>
    <row r="5" spans="2:9" s="3" customFormat="1" ht="23.25" customHeight="1">
      <c r="B5" s="545" t="s">
        <v>2</v>
      </c>
      <c r="C5" s="546"/>
      <c r="D5" s="108" t="s">
        <v>3</v>
      </c>
      <c r="E5" s="109" t="s">
        <v>4</v>
      </c>
      <c r="F5" s="109" t="s">
        <v>5</v>
      </c>
      <c r="G5" s="133"/>
      <c r="H5" s="134"/>
      <c r="I5" s="134"/>
    </row>
    <row r="6" spans="2:9" s="3" customFormat="1" ht="23.25" customHeight="1">
      <c r="B6" s="207"/>
      <c r="C6" s="208"/>
      <c r="D6" s="209"/>
      <c r="E6" s="210"/>
      <c r="F6" s="210"/>
      <c r="G6" s="133"/>
      <c r="H6" s="134"/>
      <c r="I6" s="134"/>
    </row>
    <row r="7" spans="2:9" s="110" customFormat="1" ht="23.25" customHeight="1">
      <c r="B7" s="4" t="s">
        <v>6</v>
      </c>
      <c r="C7" s="4"/>
      <c r="D7" s="112">
        <v>111201</v>
      </c>
      <c r="E7" s="107">
        <v>8013185.72</v>
      </c>
      <c r="F7" s="107"/>
      <c r="G7" s="135"/>
      <c r="H7" s="136"/>
      <c r="I7" s="136"/>
    </row>
    <row r="8" spans="2:9" s="110" customFormat="1" ht="23.25" customHeight="1">
      <c r="B8" s="4" t="s">
        <v>149</v>
      </c>
      <c r="C8" s="111"/>
      <c r="D8" s="112">
        <v>111201</v>
      </c>
      <c r="E8" s="107">
        <v>3.71</v>
      </c>
      <c r="F8" s="107"/>
      <c r="G8" s="135"/>
      <c r="H8" s="136"/>
      <c r="I8" s="136"/>
    </row>
    <row r="9" spans="2:9" s="110" customFormat="1" ht="23.25" customHeight="1">
      <c r="B9" s="4" t="s">
        <v>7</v>
      </c>
      <c r="C9" s="4"/>
      <c r="D9" s="112">
        <v>111201</v>
      </c>
      <c r="E9" s="140">
        <v>26244489.66</v>
      </c>
      <c r="F9" s="107"/>
      <c r="G9" s="135"/>
      <c r="H9" s="136"/>
      <c r="I9" s="136"/>
    </row>
    <row r="10" spans="2:9" s="110" customFormat="1" ht="23.25" customHeight="1">
      <c r="B10" s="4" t="s">
        <v>8</v>
      </c>
      <c r="C10" s="111"/>
      <c r="D10" s="112">
        <v>111202</v>
      </c>
      <c r="E10" s="140">
        <v>1202745.29</v>
      </c>
      <c r="F10" s="107"/>
      <c r="G10" s="135"/>
      <c r="H10" s="136"/>
      <c r="I10" s="136"/>
    </row>
    <row r="11" spans="2:10" s="110" customFormat="1" ht="23.25" customHeight="1">
      <c r="B11" s="4" t="s">
        <v>9</v>
      </c>
      <c r="C11" s="4"/>
      <c r="D11" s="112">
        <v>111202</v>
      </c>
      <c r="E11" s="140">
        <v>3358853.16</v>
      </c>
      <c r="F11" s="107"/>
      <c r="G11" s="137"/>
      <c r="H11" s="136"/>
      <c r="I11" s="135"/>
      <c r="J11" s="136"/>
    </row>
    <row r="12" spans="2:10" s="110" customFormat="1" ht="23.25" customHeight="1">
      <c r="B12" s="4" t="s">
        <v>10</v>
      </c>
      <c r="C12" s="4"/>
      <c r="D12" s="112">
        <v>111202</v>
      </c>
      <c r="E12" s="140">
        <v>5516804.17</v>
      </c>
      <c r="F12" s="107"/>
      <c r="G12" s="135"/>
      <c r="H12" s="136"/>
      <c r="I12" s="136"/>
      <c r="J12" s="136"/>
    </row>
    <row r="13" spans="2:9" s="110" customFormat="1" ht="23.25" customHeight="1">
      <c r="B13" s="156" t="s">
        <v>167</v>
      </c>
      <c r="C13" s="111"/>
      <c r="D13" s="114">
        <v>112002</v>
      </c>
      <c r="E13" s="107">
        <v>1356950.83</v>
      </c>
      <c r="F13" s="4"/>
      <c r="G13" s="135"/>
      <c r="H13" s="135"/>
      <c r="I13" s="136"/>
    </row>
    <row r="14" spans="2:9" s="110" customFormat="1" ht="23.25" customHeight="1">
      <c r="B14" s="156" t="s">
        <v>160</v>
      </c>
      <c r="C14" s="111"/>
      <c r="D14" s="112">
        <v>113200</v>
      </c>
      <c r="E14" s="107">
        <v>931245</v>
      </c>
      <c r="F14" s="4"/>
      <c r="G14" s="135"/>
      <c r="H14" s="136"/>
      <c r="I14" s="136"/>
    </row>
    <row r="15" spans="2:10" s="110" customFormat="1" ht="23.25" customHeight="1">
      <c r="B15" s="156" t="s">
        <v>152</v>
      </c>
      <c r="C15" s="111"/>
      <c r="D15" s="112">
        <v>113301</v>
      </c>
      <c r="E15" s="107">
        <v>41520</v>
      </c>
      <c r="F15" s="107"/>
      <c r="G15" s="135"/>
      <c r="J15" s="136"/>
    </row>
    <row r="16" spans="2:9" s="110" customFormat="1" ht="23.25" customHeight="1">
      <c r="B16" s="156" t="s">
        <v>153</v>
      </c>
      <c r="C16" s="111"/>
      <c r="D16" s="112">
        <v>113302</v>
      </c>
      <c r="E16" s="107">
        <v>37635.96</v>
      </c>
      <c r="F16" s="107"/>
      <c r="G16" s="135"/>
      <c r="H16" s="136"/>
      <c r="I16" s="136"/>
    </row>
    <row r="17" spans="2:9" s="110" customFormat="1" ht="23.25" customHeight="1">
      <c r="B17" s="156" t="s">
        <v>162</v>
      </c>
      <c r="C17" s="111"/>
      <c r="D17" s="112">
        <v>113400</v>
      </c>
      <c r="E17" s="107">
        <v>257160</v>
      </c>
      <c r="F17" s="107"/>
      <c r="G17" s="135"/>
      <c r="H17" s="136"/>
      <c r="I17" s="136"/>
    </row>
    <row r="18" spans="2:9" s="110" customFormat="1" ht="23.25" customHeight="1">
      <c r="B18" s="156" t="s">
        <v>163</v>
      </c>
      <c r="C18" s="111"/>
      <c r="D18" s="112">
        <v>190001</v>
      </c>
      <c r="E18" s="107">
        <v>500</v>
      </c>
      <c r="F18" s="107"/>
      <c r="G18" s="135"/>
      <c r="H18" s="136"/>
      <c r="I18" s="136"/>
    </row>
    <row r="19" spans="2:9" s="110" customFormat="1" ht="23.25" customHeight="1">
      <c r="B19" s="156" t="s">
        <v>164</v>
      </c>
      <c r="C19" s="111"/>
      <c r="D19" s="112">
        <v>190004</v>
      </c>
      <c r="E19" s="107">
        <v>33408</v>
      </c>
      <c r="F19" s="107"/>
      <c r="G19" s="135"/>
      <c r="H19" s="136"/>
      <c r="I19" s="136"/>
    </row>
    <row r="20" spans="2:9" s="110" customFormat="1" ht="23.25" customHeight="1">
      <c r="B20" s="156" t="s">
        <v>213</v>
      </c>
      <c r="C20" s="111"/>
      <c r="D20" s="114">
        <v>211000</v>
      </c>
      <c r="E20" s="107"/>
      <c r="F20" s="107">
        <f>+'หมายเหตุ 1-3'!F11</f>
        <v>4027990.44</v>
      </c>
      <c r="G20" s="135"/>
      <c r="H20" s="136"/>
      <c r="I20" s="138"/>
    </row>
    <row r="21" spans="2:10" s="110" customFormat="1" ht="23.25" customHeight="1">
      <c r="B21" s="156" t="s">
        <v>214</v>
      </c>
      <c r="C21" s="111"/>
      <c r="D21" s="114">
        <v>213000</v>
      </c>
      <c r="E21" s="107"/>
      <c r="F21" s="107">
        <f>+'หมายเหตุ 1-3'!F18</f>
        <v>124251.88</v>
      </c>
      <c r="G21" s="135"/>
      <c r="H21" s="136"/>
      <c r="I21" s="138"/>
      <c r="J21" s="139"/>
    </row>
    <row r="22" spans="2:10" s="110" customFormat="1" ht="23.25" customHeight="1">
      <c r="B22" s="4" t="s">
        <v>215</v>
      </c>
      <c r="C22" s="111"/>
      <c r="D22" s="114">
        <v>215000</v>
      </c>
      <c r="E22" s="107"/>
      <c r="F22" s="141">
        <f>+'หมายเหตุ 1-3'!F28</f>
        <v>447165.89999999997</v>
      </c>
      <c r="G22" s="135"/>
      <c r="H22" s="136"/>
      <c r="J22" s="139"/>
    </row>
    <row r="23" spans="2:10" s="110" customFormat="1" ht="23.25" customHeight="1">
      <c r="B23" s="156" t="s">
        <v>165</v>
      </c>
      <c r="C23" s="111"/>
      <c r="D23" s="114">
        <v>290001</v>
      </c>
      <c r="E23" s="116"/>
      <c r="F23" s="147">
        <f>+E19</f>
        <v>33408</v>
      </c>
      <c r="G23" s="135"/>
      <c r="H23" s="136"/>
      <c r="J23" s="139"/>
    </row>
    <row r="24" spans="2:10" s="110" customFormat="1" ht="23.25" customHeight="1">
      <c r="B24" s="4" t="s">
        <v>19</v>
      </c>
      <c r="C24" s="111"/>
      <c r="D24" s="114">
        <v>310000</v>
      </c>
      <c r="E24" s="107"/>
      <c r="F24" s="107">
        <v>25778045.26</v>
      </c>
      <c r="G24" s="135"/>
      <c r="H24" s="136"/>
      <c r="I24" s="138"/>
      <c r="J24" s="139"/>
    </row>
    <row r="25" spans="2:10" s="110" customFormat="1" ht="23.25" customHeight="1">
      <c r="B25" s="4" t="s">
        <v>20</v>
      </c>
      <c r="C25" s="111"/>
      <c r="D25" s="114">
        <v>320000</v>
      </c>
      <c r="E25" s="107"/>
      <c r="F25" s="107">
        <v>16583640.02</v>
      </c>
      <c r="G25" s="135"/>
      <c r="H25" s="136"/>
      <c r="I25" s="138"/>
      <c r="J25" s="139"/>
    </row>
    <row r="26" spans="2:10" s="110" customFormat="1" ht="23.25" customHeight="1">
      <c r="B26" s="157"/>
      <c r="C26" s="158"/>
      <c r="D26" s="115"/>
      <c r="E26" s="116"/>
      <c r="F26" s="116"/>
      <c r="G26" s="135"/>
      <c r="H26" s="136"/>
      <c r="I26" s="138"/>
      <c r="J26" s="139"/>
    </row>
    <row r="27" spans="2:9" s="110" customFormat="1" ht="23.25" customHeight="1">
      <c r="B27" s="159"/>
      <c r="C27" s="160"/>
      <c r="D27" s="161"/>
      <c r="E27" s="162">
        <f>SUM(E7:E25)</f>
        <v>46994501.50000001</v>
      </c>
      <c r="F27" s="162">
        <f>SUM(F7:F25)</f>
        <v>46994501.5</v>
      </c>
      <c r="G27" s="133"/>
      <c r="H27" s="134"/>
      <c r="I27" s="134"/>
    </row>
    <row r="28" spans="2:9" s="3" customFormat="1" ht="21.75" customHeight="1">
      <c r="B28" s="117"/>
      <c r="C28" s="117"/>
      <c r="D28" s="117"/>
      <c r="E28" s="118"/>
      <c r="F28" s="393">
        <f>+E27-F27</f>
        <v>0</v>
      </c>
      <c r="G28" s="133"/>
      <c r="H28" s="134"/>
      <c r="I28" s="134"/>
    </row>
    <row r="29" spans="2:9" s="3" customFormat="1" ht="21.75" customHeight="1">
      <c r="B29" s="117"/>
      <c r="C29" s="117"/>
      <c r="D29" s="117"/>
      <c r="E29" s="118"/>
      <c r="F29" s="119"/>
      <c r="G29" s="133"/>
      <c r="H29" s="134"/>
      <c r="I29" s="134"/>
    </row>
    <row r="30" spans="2:9" s="3" customFormat="1" ht="21.75" customHeight="1">
      <c r="B30" s="117"/>
      <c r="C30" s="117"/>
      <c r="D30" s="117"/>
      <c r="E30" s="118"/>
      <c r="F30" s="119"/>
      <c r="G30" s="133"/>
      <c r="H30" s="134"/>
      <c r="I30" s="134"/>
    </row>
    <row r="31" spans="2:9" s="3" customFormat="1" ht="21.75" customHeight="1">
      <c r="B31" s="120"/>
      <c r="C31" s="120"/>
      <c r="D31" s="120"/>
      <c r="E31" s="121"/>
      <c r="F31" s="121"/>
      <c r="G31" s="134"/>
      <c r="H31" s="134"/>
      <c r="I31" s="134"/>
    </row>
    <row r="32" spans="1:9" s="3" customFormat="1" ht="21.75" customHeight="1">
      <c r="A32" s="120" t="s">
        <v>123</v>
      </c>
      <c r="B32" s="120"/>
      <c r="C32" s="120"/>
      <c r="D32" s="120"/>
      <c r="E32" s="121"/>
      <c r="F32" s="121"/>
      <c r="G32" s="134"/>
      <c r="H32" s="134"/>
      <c r="I32" s="134"/>
    </row>
    <row r="33" spans="1:9" s="3" customFormat="1" ht="21.75" customHeight="1">
      <c r="A33" s="120" t="s">
        <v>22</v>
      </c>
      <c r="B33" s="120"/>
      <c r="C33" s="120"/>
      <c r="D33" s="120"/>
      <c r="E33" s="121"/>
      <c r="F33" s="121"/>
      <c r="G33" s="134"/>
      <c r="H33" s="134"/>
      <c r="I33" s="134"/>
    </row>
    <row r="34" spans="1:9" s="3" customFormat="1" ht="21.75" customHeight="1">
      <c r="A34" s="120" t="s">
        <v>23</v>
      </c>
      <c r="B34" s="5"/>
      <c r="C34" s="5"/>
      <c r="D34" s="122"/>
      <c r="E34" s="6"/>
      <c r="F34" s="6"/>
      <c r="G34" s="134"/>
      <c r="H34" s="134"/>
      <c r="I34" s="134"/>
    </row>
    <row r="35" spans="1:9" ht="21.75" customHeight="1">
      <c r="A35" s="5"/>
      <c r="B35" s="5"/>
      <c r="C35" s="5"/>
      <c r="D35" s="122"/>
      <c r="G35" s="134"/>
      <c r="H35" s="7"/>
      <c r="I35" s="7"/>
    </row>
    <row r="36" spans="1:9" ht="21.75" customHeight="1">
      <c r="A36" s="5"/>
      <c r="B36" s="5"/>
      <c r="C36" s="5"/>
      <c r="D36" s="122"/>
      <c r="G36" s="134"/>
      <c r="H36" s="7"/>
      <c r="I36" s="7"/>
    </row>
    <row r="37" spans="1:9" ht="21.75" customHeight="1">
      <c r="A37" s="5"/>
      <c r="C37" s="5"/>
      <c r="D37" s="8"/>
      <c r="E37" s="9"/>
      <c r="F37" s="10"/>
      <c r="H37" s="7"/>
      <c r="I37" s="7"/>
    </row>
    <row r="38" spans="1:9" ht="21.75" customHeight="1">
      <c r="A38" s="8"/>
      <c r="C38" s="5"/>
      <c r="D38" s="8"/>
      <c r="E38" s="9"/>
      <c r="F38" s="10"/>
      <c r="H38" s="7"/>
      <c r="I38" s="7"/>
    </row>
    <row r="39" spans="1:9" ht="21.75" customHeight="1">
      <c r="A39" s="8"/>
      <c r="C39" s="5"/>
      <c r="D39" s="8"/>
      <c r="E39" s="9"/>
      <c r="F39" s="10"/>
      <c r="H39" s="7"/>
      <c r="I39" s="7"/>
    </row>
    <row r="40" spans="1:9" ht="21.75" customHeight="1">
      <c r="A40" s="8"/>
      <c r="H40" s="7"/>
      <c r="I40" s="7"/>
    </row>
    <row r="41" ht="21.75" customHeight="1">
      <c r="A41" s="8"/>
    </row>
    <row r="42" spans="2:9" ht="21.75" customHeight="1">
      <c r="B42" s="5"/>
      <c r="C42" s="5"/>
      <c r="D42" s="5"/>
      <c r="H42" s="7"/>
      <c r="I42" s="7"/>
    </row>
    <row r="43" spans="1:9" ht="21.75" customHeight="1">
      <c r="A43" s="5"/>
      <c r="B43" s="8"/>
      <c r="C43" s="8"/>
      <c r="D43" s="8"/>
      <c r="H43" s="7"/>
      <c r="I43" s="7"/>
    </row>
    <row r="44" spans="1:9" ht="21.75" customHeight="1">
      <c r="A44" s="8"/>
      <c r="B44" s="8"/>
      <c r="C44" s="8"/>
      <c r="D44" s="8"/>
      <c r="H44" s="7"/>
      <c r="I44" s="7"/>
    </row>
    <row r="45" spans="1:9" ht="21.75" customHeight="1">
      <c r="A45" s="8"/>
      <c r="B45" s="8"/>
      <c r="C45" s="8"/>
      <c r="D45" s="8"/>
      <c r="H45" s="7"/>
      <c r="I45" s="7"/>
    </row>
    <row r="46" spans="1:9" ht="21.75" customHeight="1">
      <c r="A46" s="8"/>
      <c r="B46" s="8"/>
      <c r="C46" s="8"/>
      <c r="D46" s="8"/>
      <c r="H46" s="7"/>
      <c r="I46" s="7"/>
    </row>
    <row r="47" spans="1:9" ht="21.75" customHeight="1">
      <c r="A47" s="8"/>
      <c r="B47" s="8"/>
      <c r="C47" s="8"/>
      <c r="D47" s="8"/>
      <c r="H47" s="7"/>
      <c r="I47" s="7"/>
    </row>
    <row r="48" spans="1:9" ht="21.75" customHeight="1">
      <c r="A48" s="8"/>
      <c r="B48" s="8"/>
      <c r="C48" s="8"/>
      <c r="D48" s="8"/>
      <c r="H48" s="7"/>
      <c r="I48" s="7"/>
    </row>
    <row r="49" spans="1:9" ht="21.75" customHeight="1">
      <c r="A49" s="8"/>
      <c r="B49" s="8"/>
      <c r="C49" s="8"/>
      <c r="D49" s="8"/>
      <c r="H49" s="7"/>
      <c r="I49" s="7"/>
    </row>
    <row r="50" ht="21.75" customHeight="1">
      <c r="A50" s="8"/>
    </row>
  </sheetData>
  <sheetProtection/>
  <mergeCells count="4">
    <mergeCell ref="A1:F1"/>
    <mergeCell ref="A2:F2"/>
    <mergeCell ref="A3:F3"/>
    <mergeCell ref="B5:C5"/>
  </mergeCells>
  <printOptions/>
  <pageMargins left="0.6299212598425197" right="0.15748031496062992" top="0.58" bottom="0.2" header="0.15748031496062992" footer="0.1574803149606299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I35"/>
  <sheetViews>
    <sheetView zoomScalePageLayoutView="0" workbookViewId="0" topLeftCell="A1">
      <selection activeCell="J29" sqref="J29"/>
    </sheetView>
  </sheetViews>
  <sheetFormatPr defaultColWidth="9.140625" defaultRowHeight="21.75"/>
  <cols>
    <col min="1" max="1" width="6.57421875" style="8" customWidth="1"/>
    <col min="2" max="5" width="15.7109375" style="1" customWidth="1"/>
    <col min="6" max="6" width="15.7109375" style="10" customWidth="1"/>
    <col min="7" max="7" width="15.28125" style="10" customWidth="1"/>
    <col min="8" max="8" width="13.57421875" style="1" bestFit="1" customWidth="1"/>
    <col min="9" max="9" width="13.421875" style="8" bestFit="1" customWidth="1"/>
    <col min="10" max="16384" width="9.140625" style="8" customWidth="1"/>
  </cols>
  <sheetData>
    <row r="1" spans="1:9" ht="21">
      <c r="A1" s="556" t="s">
        <v>0</v>
      </c>
      <c r="B1" s="556"/>
      <c r="C1" s="556"/>
      <c r="D1" s="556"/>
      <c r="E1" s="556"/>
      <c r="F1" s="556"/>
      <c r="G1" s="71"/>
      <c r="H1" s="71"/>
      <c r="I1" s="1"/>
    </row>
    <row r="2" spans="1:9" ht="21">
      <c r="A2" s="557" t="str">
        <f>+แนบ2!A2:F2</f>
        <v>รายละเอียดประกอบงบทดลอง</v>
      </c>
      <c r="B2" s="557"/>
      <c r="C2" s="557"/>
      <c r="D2" s="557"/>
      <c r="E2" s="557"/>
      <c r="F2" s="557"/>
      <c r="G2" s="72"/>
      <c r="H2" s="72"/>
      <c r="I2" s="1"/>
    </row>
    <row r="3" spans="1:9" ht="21">
      <c r="A3" s="558" t="str">
        <f>+'หมายเหตุ 1 รายรับจริง'!A3:G3</f>
        <v>ณ  วันที่  30 กันยายน 2558</v>
      </c>
      <c r="B3" s="558"/>
      <c r="C3" s="558"/>
      <c r="D3" s="558"/>
      <c r="E3" s="558"/>
      <c r="F3" s="558"/>
      <c r="G3" s="73"/>
      <c r="H3" s="73"/>
      <c r="I3" s="1"/>
    </row>
    <row r="4" spans="1:8" ht="21">
      <c r="A4" s="5"/>
      <c r="B4" s="2"/>
      <c r="C4" s="2"/>
      <c r="D4" s="2"/>
      <c r="E4" s="74"/>
      <c r="H4" s="8"/>
    </row>
    <row r="5" spans="1:6" ht="21">
      <c r="A5" s="200" t="s">
        <v>216</v>
      </c>
      <c r="B5" s="2"/>
      <c r="C5" s="2"/>
      <c r="D5" s="2"/>
      <c r="F5" s="9"/>
    </row>
    <row r="6" spans="1:6" ht="21">
      <c r="A6" s="202" t="s">
        <v>207</v>
      </c>
      <c r="B6" s="2"/>
      <c r="C6" s="2"/>
      <c r="D6" s="2"/>
      <c r="F6" s="204" t="s">
        <v>1</v>
      </c>
    </row>
    <row r="7" spans="1:8" ht="21">
      <c r="A7" s="200"/>
      <c r="B7" s="74" t="s">
        <v>13</v>
      </c>
      <c r="C7" s="203"/>
      <c r="D7" s="203"/>
      <c r="E7" s="74"/>
      <c r="F7" s="10">
        <f>+แนบ2!E19</f>
        <v>98486.5</v>
      </c>
      <c r="H7" s="8"/>
    </row>
    <row r="8" spans="1:6" ht="21">
      <c r="A8" s="200"/>
      <c r="B8" s="74" t="s">
        <v>14</v>
      </c>
      <c r="C8" s="203"/>
      <c r="D8" s="203"/>
      <c r="F8" s="206">
        <f>+แนบ2!E25</f>
        <v>877603.9400000001</v>
      </c>
    </row>
    <row r="9" spans="1:6" ht="21">
      <c r="A9" s="200"/>
      <c r="B9" s="74" t="s">
        <v>17</v>
      </c>
      <c r="C9" s="203"/>
      <c r="D9" s="203"/>
      <c r="F9" s="206">
        <f>+แนบ2!E38</f>
        <v>1206700</v>
      </c>
    </row>
    <row r="10" spans="1:6" ht="21">
      <c r="A10" s="201"/>
      <c r="B10" s="74" t="s">
        <v>18</v>
      </c>
      <c r="F10" s="10">
        <f>+แนบ2!E44</f>
        <v>1845200</v>
      </c>
    </row>
    <row r="11" spans="1:6" ht="21.75" thickBot="1">
      <c r="A11" s="201"/>
      <c r="B11" s="74"/>
      <c r="E11" s="203" t="s">
        <v>33</v>
      </c>
      <c r="F11" s="205">
        <f>SUM(F7:F10)</f>
        <v>4027990.44</v>
      </c>
    </row>
    <row r="12" spans="1:5" ht="21.75" thickTop="1">
      <c r="A12" s="200"/>
      <c r="B12" s="74"/>
      <c r="C12" s="203"/>
      <c r="D12" s="203"/>
      <c r="E12" s="203"/>
    </row>
    <row r="13" spans="1:6" ht="21">
      <c r="A13" s="200" t="s">
        <v>217</v>
      </c>
      <c r="B13" s="2"/>
      <c r="C13" s="2"/>
      <c r="D13" s="2"/>
      <c r="F13" s="9"/>
    </row>
    <row r="14" spans="1:6" ht="21">
      <c r="A14" s="202" t="s">
        <v>207</v>
      </c>
      <c r="B14" s="2"/>
      <c r="C14" s="2"/>
      <c r="D14" s="2"/>
      <c r="F14" s="204" t="s">
        <v>1</v>
      </c>
    </row>
    <row r="15" spans="1:6" ht="21">
      <c r="A15" s="200"/>
      <c r="B15" s="74" t="s">
        <v>12</v>
      </c>
      <c r="C15" s="203"/>
      <c r="D15" s="203"/>
      <c r="F15" s="206">
        <v>5250</v>
      </c>
    </row>
    <row r="16" spans="1:8" ht="21">
      <c r="A16" s="200"/>
      <c r="B16" s="74" t="s">
        <v>13</v>
      </c>
      <c r="C16" s="203"/>
      <c r="D16" s="203"/>
      <c r="E16" s="74"/>
      <c r="F16" s="10">
        <v>7694.08</v>
      </c>
      <c r="H16" s="8"/>
    </row>
    <row r="17" spans="1:6" ht="21">
      <c r="A17" s="200"/>
      <c r="B17" s="74" t="s">
        <v>14</v>
      </c>
      <c r="C17" s="203"/>
      <c r="D17" s="203"/>
      <c r="F17" s="206">
        <v>111307.8</v>
      </c>
    </row>
    <row r="18" spans="1:6" ht="21.75" thickBot="1">
      <c r="A18" s="201"/>
      <c r="B18" s="74"/>
      <c r="E18" s="203" t="s">
        <v>33</v>
      </c>
      <c r="F18" s="205">
        <f>SUM(F15:F17)</f>
        <v>124251.88</v>
      </c>
    </row>
    <row r="19" spans="1:2" ht="21.75" thickTop="1">
      <c r="A19" s="201"/>
      <c r="B19" s="74"/>
    </row>
    <row r="20" spans="1:6" ht="21">
      <c r="A20" s="200" t="s">
        <v>218</v>
      </c>
      <c r="B20" s="2"/>
      <c r="C20" s="2"/>
      <c r="D20" s="2"/>
      <c r="F20" s="9"/>
    </row>
    <row r="21" spans="1:6" ht="21">
      <c r="A21" s="202"/>
      <c r="B21" s="2"/>
      <c r="C21" s="2"/>
      <c r="D21" s="2"/>
      <c r="F21" s="204" t="s">
        <v>1</v>
      </c>
    </row>
    <row r="22" spans="1:6" ht="21">
      <c r="A22" s="201" t="s">
        <v>125</v>
      </c>
      <c r="B22" s="74"/>
      <c r="C22" s="203"/>
      <c r="D22" s="203"/>
      <c r="F22" s="206">
        <v>18363.659999999996</v>
      </c>
    </row>
    <row r="23" spans="1:8" ht="21">
      <c r="A23" s="201" t="s">
        <v>95</v>
      </c>
      <c r="B23" s="74"/>
      <c r="C23" s="203"/>
      <c r="D23" s="203"/>
      <c r="E23" s="74"/>
      <c r="F23" s="10">
        <v>238104.2</v>
      </c>
      <c r="H23" s="8"/>
    </row>
    <row r="24" spans="1:6" ht="21">
      <c r="A24" s="201" t="s">
        <v>122</v>
      </c>
      <c r="B24" s="74"/>
      <c r="C24" s="203"/>
      <c r="D24" s="203"/>
      <c r="E24" s="74"/>
      <c r="F24" s="10">
        <v>10356</v>
      </c>
    </row>
    <row r="25" spans="1:6" ht="21">
      <c r="A25" s="201" t="s">
        <v>126</v>
      </c>
      <c r="B25" s="74"/>
      <c r="E25" s="74"/>
      <c r="F25" s="10">
        <v>2826.0399999999995</v>
      </c>
    </row>
    <row r="26" spans="1:6" ht="21">
      <c r="A26" s="201" t="s">
        <v>124</v>
      </c>
      <c r="B26" s="74"/>
      <c r="E26" s="74"/>
      <c r="F26" s="10">
        <v>9600</v>
      </c>
    </row>
    <row r="27" spans="1:6" ht="21">
      <c r="A27" s="201" t="s">
        <v>159</v>
      </c>
      <c r="B27" s="74"/>
      <c r="F27" s="206">
        <v>167916</v>
      </c>
    </row>
    <row r="28" spans="1:6" ht="21.75" thickBot="1">
      <c r="A28" s="201"/>
      <c r="B28" s="74"/>
      <c r="E28" s="203" t="s">
        <v>33</v>
      </c>
      <c r="F28" s="205">
        <f>SUM(F22:F27)</f>
        <v>447165.89999999997</v>
      </c>
    </row>
    <row r="29" spans="1:9" s="10" customFormat="1" ht="21.75" thickTop="1">
      <c r="A29" s="201"/>
      <c r="B29" s="74"/>
      <c r="C29" s="1"/>
      <c r="D29" s="1"/>
      <c r="E29" s="1"/>
      <c r="H29" s="1"/>
      <c r="I29" s="8"/>
    </row>
    <row r="30" spans="1:9" s="10" customFormat="1" ht="21">
      <c r="A30" s="201"/>
      <c r="B30" s="74"/>
      <c r="C30" s="1"/>
      <c r="D30" s="1"/>
      <c r="E30" s="1"/>
      <c r="H30" s="1"/>
      <c r="I30" s="8"/>
    </row>
    <row r="31" spans="1:9" s="10" customFormat="1" ht="21">
      <c r="A31" s="201"/>
      <c r="B31" s="74"/>
      <c r="C31" s="1"/>
      <c r="D31" s="1"/>
      <c r="E31" s="1"/>
      <c r="H31" s="1"/>
      <c r="I31" s="8"/>
    </row>
    <row r="32" spans="1:2" ht="21">
      <c r="A32" s="201"/>
      <c r="B32" s="74"/>
    </row>
    <row r="33" spans="1:2" ht="21">
      <c r="A33" s="201"/>
      <c r="B33" s="74"/>
    </row>
    <row r="34" ht="21">
      <c r="A34" s="201"/>
    </row>
    <row r="35" ht="21">
      <c r="A35" s="201"/>
    </row>
  </sheetData>
  <sheetProtection/>
  <mergeCells count="3">
    <mergeCell ref="A1:F1"/>
    <mergeCell ref="A2:F2"/>
    <mergeCell ref="A3:F3"/>
  </mergeCells>
  <printOptions/>
  <pageMargins left="1.26" right="0.15748031496062992" top="0.7" bottom="0" header="0.16" footer="0.19"/>
  <pageSetup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"/>
  <sheetViews>
    <sheetView zoomScalePageLayoutView="0" workbookViewId="0" topLeftCell="A1">
      <selection activeCell="D31" sqref="D31"/>
    </sheetView>
  </sheetViews>
  <sheetFormatPr defaultColWidth="9.140625" defaultRowHeight="21.75"/>
  <cols>
    <col min="1" max="1" width="7.28125" style="303" customWidth="1"/>
    <col min="2" max="2" width="6.7109375" style="303" customWidth="1"/>
    <col min="3" max="3" width="44.421875" style="303" customWidth="1"/>
    <col min="4" max="4" width="14.28125" style="371" customWidth="1"/>
    <col min="5" max="5" width="6.421875" style="303" customWidth="1"/>
    <col min="6" max="6" width="17.28125" style="303" customWidth="1"/>
    <col min="7" max="7" width="11.28125" style="303" customWidth="1"/>
    <col min="8" max="16384" width="9.140625" style="303" customWidth="1"/>
  </cols>
  <sheetData>
    <row r="1" spans="1:6" ht="21">
      <c r="A1" s="567" t="s">
        <v>0</v>
      </c>
      <c r="B1" s="567"/>
      <c r="C1" s="567"/>
      <c r="D1" s="567"/>
      <c r="E1" s="567"/>
      <c r="F1" s="567"/>
    </row>
    <row r="2" spans="1:6" ht="21">
      <c r="A2" s="567" t="s">
        <v>293</v>
      </c>
      <c r="B2" s="567"/>
      <c r="C2" s="567"/>
      <c r="D2" s="567"/>
      <c r="E2" s="567"/>
      <c r="F2" s="567"/>
    </row>
    <row r="3" spans="1:6" ht="21">
      <c r="A3" s="567" t="s">
        <v>298</v>
      </c>
      <c r="B3" s="567"/>
      <c r="C3" s="567"/>
      <c r="D3" s="567"/>
      <c r="E3" s="567"/>
      <c r="F3" s="567"/>
    </row>
    <row r="4" spans="1:6" ht="10.5" customHeight="1">
      <c r="A4" s="304"/>
      <c r="B4" s="304"/>
      <c r="C4" s="304"/>
      <c r="D4" s="342"/>
      <c r="E4" s="304"/>
      <c r="F4" s="304"/>
    </row>
    <row r="5" spans="1:6" ht="21">
      <c r="A5" s="305"/>
      <c r="B5" s="306"/>
      <c r="C5" s="306"/>
      <c r="D5" s="370" t="s">
        <v>117</v>
      </c>
      <c r="E5" s="306"/>
      <c r="F5" s="306"/>
    </row>
    <row r="6" spans="1:6" s="307" customFormat="1" ht="21.75" thickBot="1">
      <c r="A6" s="315" t="s">
        <v>294</v>
      </c>
      <c r="D6" s="314">
        <v>2</v>
      </c>
      <c r="F6" s="308">
        <f>+หมายเหตุ2!C30</f>
        <v>19966178</v>
      </c>
    </row>
    <row r="7" spans="1:6" s="307" customFormat="1" ht="21.75" thickTop="1">
      <c r="A7" s="315" t="s">
        <v>299</v>
      </c>
      <c r="D7" s="314"/>
      <c r="F7" s="313"/>
    </row>
    <row r="8" spans="1:6" s="307" customFormat="1" ht="21">
      <c r="A8" s="315"/>
      <c r="B8" s="315" t="s">
        <v>300</v>
      </c>
      <c r="D8" s="314"/>
      <c r="F8" s="313"/>
    </row>
    <row r="9" spans="3:6" ht="21">
      <c r="C9" s="303" t="s">
        <v>301</v>
      </c>
      <c r="D9" s="304">
        <v>3</v>
      </c>
      <c r="F9" s="235">
        <f>+'หมายเหตุ 3-6'!H13</f>
        <v>44336081.71000001</v>
      </c>
    </row>
    <row r="10" spans="3:6" ht="21">
      <c r="C10" s="303" t="s">
        <v>302</v>
      </c>
      <c r="D10" s="304"/>
      <c r="F10" s="235">
        <f>+งบทดลองหลังปิด!E13</f>
        <v>1356950.83</v>
      </c>
    </row>
    <row r="11" spans="3:6" ht="21">
      <c r="C11" s="303" t="s">
        <v>160</v>
      </c>
      <c r="D11" s="304">
        <v>4</v>
      </c>
      <c r="F11" s="235">
        <f>+'หมายเหตุ 3-6'!H19</f>
        <v>931245</v>
      </c>
    </row>
    <row r="12" spans="3:6" ht="21">
      <c r="C12" s="303" t="s">
        <v>303</v>
      </c>
      <c r="D12" s="304">
        <v>5</v>
      </c>
      <c r="F12" s="235">
        <f>+'หมายเหตุ 3-6'!H40</f>
        <v>79155.95999999999</v>
      </c>
    </row>
    <row r="13" spans="3:6" ht="21">
      <c r="C13" s="303" t="s">
        <v>304</v>
      </c>
      <c r="D13" s="304">
        <v>6</v>
      </c>
      <c r="F13" s="235">
        <f>+'หมายเหตุ 3-6'!H44</f>
        <v>257160</v>
      </c>
    </row>
    <row r="14" spans="3:6" s="371" customFormat="1" ht="21">
      <c r="C14" s="315" t="s">
        <v>417</v>
      </c>
      <c r="D14" s="342"/>
      <c r="F14" s="372">
        <f>SUM(F9:F13)</f>
        <v>46960593.50000001</v>
      </c>
    </row>
    <row r="15" spans="3:6" ht="21">
      <c r="C15" s="303" t="s">
        <v>163</v>
      </c>
      <c r="D15" s="342"/>
      <c r="F15" s="235">
        <f>+งบทดลองหลังปิด!E18</f>
        <v>500</v>
      </c>
    </row>
    <row r="16" spans="3:6" ht="21">
      <c r="C16" s="303" t="s">
        <v>164</v>
      </c>
      <c r="D16" s="342"/>
      <c r="F16" s="235">
        <f>+งบทดลองหลังปิด!E19</f>
        <v>33408</v>
      </c>
    </row>
    <row r="17" spans="1:6" ht="21.75" thickBot="1">
      <c r="A17" s="315" t="s">
        <v>418</v>
      </c>
      <c r="D17" s="342"/>
      <c r="F17" s="394">
        <f>SUM(F14:F16)</f>
        <v>46994501.50000001</v>
      </c>
    </row>
    <row r="18" ht="11.25" customHeight="1" thickTop="1"/>
    <row r="19" ht="21">
      <c r="D19" s="370" t="s">
        <v>117</v>
      </c>
    </row>
    <row r="20" spans="1:6" s="307" customFormat="1" ht="21.75" thickBot="1">
      <c r="A20" s="315" t="s">
        <v>295</v>
      </c>
      <c r="D20" s="314">
        <v>2</v>
      </c>
      <c r="F20" s="308">
        <f>+หมายเหตุ2!C30</f>
        <v>19966178</v>
      </c>
    </row>
    <row r="21" spans="1:6" s="307" customFormat="1" ht="21.75" thickTop="1">
      <c r="A21" s="315" t="s">
        <v>412</v>
      </c>
      <c r="D21" s="314"/>
      <c r="F21" s="313"/>
    </row>
    <row r="22" spans="2:6" s="315" customFormat="1" ht="21">
      <c r="B22" s="315" t="s">
        <v>413</v>
      </c>
      <c r="D22" s="314"/>
      <c r="F22" s="375"/>
    </row>
    <row r="23" spans="3:6" ht="21">
      <c r="C23" s="303" t="s">
        <v>296</v>
      </c>
      <c r="D23" s="304">
        <v>7</v>
      </c>
      <c r="F23" s="235">
        <f>+'หมายเหตุ 7'!G35</f>
        <v>4027990.44</v>
      </c>
    </row>
    <row r="24" spans="3:6" ht="21">
      <c r="C24" s="303" t="s">
        <v>414</v>
      </c>
      <c r="D24" s="304">
        <v>8</v>
      </c>
      <c r="F24" s="235">
        <f>+'หมายเหตุ 8-9'!F19</f>
        <v>124251.88</v>
      </c>
    </row>
    <row r="25" spans="3:6" ht="21">
      <c r="C25" s="303" t="s">
        <v>415</v>
      </c>
      <c r="D25" s="304">
        <v>9</v>
      </c>
      <c r="F25" s="235">
        <f>+'หมายเหตุ 8-9'!E28</f>
        <v>447165.89999999997</v>
      </c>
    </row>
    <row r="26" spans="3:6" s="371" customFormat="1" ht="21">
      <c r="C26" s="315" t="s">
        <v>419</v>
      </c>
      <c r="D26" s="304"/>
      <c r="F26" s="372">
        <f>SUM(F23:F25)</f>
        <v>4599408.22</v>
      </c>
    </row>
    <row r="27" spans="3:6" ht="21">
      <c r="C27" s="303" t="s">
        <v>165</v>
      </c>
      <c r="D27" s="304"/>
      <c r="F27" s="310">
        <f>+งบทดลองหลังปิด!E19</f>
        <v>33408</v>
      </c>
    </row>
    <row r="28" spans="2:6" s="371" customFormat="1" ht="21">
      <c r="B28" s="371" t="s">
        <v>420</v>
      </c>
      <c r="D28" s="304"/>
      <c r="F28" s="373">
        <f>SUM(F26:F27)</f>
        <v>4632816.22</v>
      </c>
    </row>
    <row r="29" spans="4:6" s="371" customFormat="1" ht="10.5" customHeight="1">
      <c r="D29" s="304"/>
      <c r="F29" s="373"/>
    </row>
    <row r="30" spans="1:6" s="371" customFormat="1" ht="21">
      <c r="A30" s="371" t="s">
        <v>297</v>
      </c>
      <c r="D30" s="304"/>
      <c r="F30" s="373"/>
    </row>
    <row r="31" spans="2:6" ht="21">
      <c r="B31" s="303" t="s">
        <v>19</v>
      </c>
      <c r="D31" s="304">
        <v>10</v>
      </c>
      <c r="F31" s="235">
        <f>+'หมายเหตุ 10'!E17</f>
        <v>25778045.2575</v>
      </c>
    </row>
    <row r="32" spans="2:6" ht="21">
      <c r="B32" s="303" t="s">
        <v>20</v>
      </c>
      <c r="D32" s="304"/>
      <c r="F32" s="235">
        <f>+งบทดลองหลังปิด!F25</f>
        <v>16583640.02</v>
      </c>
    </row>
    <row r="33" spans="2:6" ht="21">
      <c r="B33" s="371" t="s">
        <v>421</v>
      </c>
      <c r="F33" s="385">
        <f>SUM(F31:F32)</f>
        <v>42361685.2775</v>
      </c>
    </row>
    <row r="34" spans="1:6" ht="21.75" thickBot="1">
      <c r="A34" s="371" t="s">
        <v>422</v>
      </c>
      <c r="F34" s="386">
        <f>+F28+F33</f>
        <v>46994501.4975</v>
      </c>
    </row>
    <row r="35" ht="11.25" customHeight="1" thickTop="1">
      <c r="F35" s="311"/>
    </row>
    <row r="36" spans="1:6" ht="21">
      <c r="A36" s="371" t="s">
        <v>423</v>
      </c>
      <c r="F36" s="311"/>
    </row>
    <row r="37" spans="1:6" ht="21">
      <c r="A37" s="371"/>
      <c r="F37" s="311"/>
    </row>
    <row r="38" ht="21">
      <c r="F38" s="309"/>
    </row>
    <row r="39" spans="1:6" ht="21">
      <c r="A39" s="201" t="s">
        <v>896</v>
      </c>
      <c r="B39" s="312"/>
      <c r="C39" s="312"/>
      <c r="D39" s="374"/>
      <c r="E39" s="312"/>
      <c r="F39" s="312"/>
    </row>
    <row r="40" spans="1:6" ht="21">
      <c r="A40" s="201" t="s">
        <v>897</v>
      </c>
      <c r="B40" s="312"/>
      <c r="C40" s="312"/>
      <c r="D40" s="374"/>
      <c r="E40" s="312"/>
      <c r="F40" s="312"/>
    </row>
    <row r="41" ht="21">
      <c r="A41" s="201" t="s">
        <v>895</v>
      </c>
    </row>
  </sheetData>
  <sheetProtection/>
  <mergeCells count="3">
    <mergeCell ref="A1:F1"/>
    <mergeCell ref="A2:F2"/>
    <mergeCell ref="A3:F3"/>
  </mergeCells>
  <printOptions/>
  <pageMargins left="0.95" right="0.16" top="0.36" bottom="0.24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SIAM</dc:creator>
  <cp:keywords/>
  <dc:description/>
  <cp:lastModifiedBy>io</cp:lastModifiedBy>
  <cp:lastPrinted>2015-11-17T06:32:00Z</cp:lastPrinted>
  <dcterms:created xsi:type="dcterms:W3CDTF">2004-05-24T06:32:49Z</dcterms:created>
  <dcterms:modified xsi:type="dcterms:W3CDTF">2015-11-18T04:10:12Z</dcterms:modified>
  <cp:category/>
  <cp:version/>
  <cp:contentType/>
  <cp:contentStatus/>
</cp:coreProperties>
</file>